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arboleda\Desktop\CONTROL INTERNO 2022\INFORMES DE SEGUIMIENTOS\"/>
    </mc:Choice>
  </mc:AlternateContent>
  <bookViews>
    <workbookView xWindow="0" yWindow="0" windowWidth="23040" windowHeight="8508" activeTab="2"/>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52511"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<sst xmlns="http://schemas.openxmlformats.org/spreadsheetml/2006/main" count="514" uniqueCount="245">
  <si>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</si>
  <si>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</si>
  <si>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</si>
  <si>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</si>
  <si>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</si>
  <si>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</si>
  <si>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</si>
  <si>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</si>
  <si>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</si>
  <si>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</si>
  <si>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</si>
  <si>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</si>
  <si>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</si>
  <si>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</si>
  <si>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</si>
  <si>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</si>
  <si>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</si>
  <si>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</si>
  <si>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</si>
  <si>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</si>
  <si>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</si>
  <si>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</si>
  <si>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</si>
  <si>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</si>
  <si>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</si>
  <si>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</si>
  <si>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</si>
  <si>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</si>
  <si>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</si>
  <si>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</si>
  <si>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</si>
  <si>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</si>
  <si>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</si>
  <si>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</si>
  <si>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</si>
  <si>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</si>
  <si>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</si>
  <si>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</si>
  <si>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</si>
  <si>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</si>
  <si>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</si>
  <si>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</si>
  <si>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</si>
  <si>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</si>
  <si>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</si>
  <si>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</si>
  <si>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</si>
  <si>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</si>
  <si>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</si>
  <si>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</si>
  <si>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</si>
  <si>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</si>
  <si>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</si>
  <si>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</si>
  <si>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</si>
  <si>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</si>
  <si>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</si>
  <si>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</si>
  <si>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</si>
  <si>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</si>
  <si>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</si>
  <si>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</si>
  <si>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</si>
  <si>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</si>
  <si>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</si>
  <si>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</si>
  <si>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</si>
  <si>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</si>
  <si>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</si>
  <si>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</si>
  <si>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</si>
  <si>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</si>
  <si>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</si>
  <si>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</si>
  <si>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</si>
  <si>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</si>
  <si>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</si>
  <si>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</si>
  <si>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</si>
  <si>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</si>
  <si>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</si>
  <si>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</si>
  <si>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</si>
  <si>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</si>
  <si>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</si>
  <si>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</si>
  <si>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</si>
  <si>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</si>
  <si>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</si>
  <si>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</si>
  <si>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</si>
  <si>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</si>
  <si>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</si>
  <si>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</si>
  <si>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</si>
  <si>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</si>
  <si>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</si>
  <si>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</si>
  <si>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</si>
  <si>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</si>
  <si>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</si>
  <si>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</si>
  <si>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</si>
  <si>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</si>
  <si>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</si>
  <si>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</si>
  <si>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</si>
  <si>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</si>
  <si>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</si>
  <si>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</si>
  <si>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</si>
  <si>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</si>
  <si>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</si>
  <si>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</si>
  <si>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</si>
  <si>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</si>
  <si>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</si>
  <si>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</si>
  <si>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</si>
  <si>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</si>
  <si>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</si>
  <si>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</si>
  <si>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</si>
  <si>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</si>
  <si>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</si>
  <si>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</si>
  <si>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</si>
  <si>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</si>
  <si>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</si>
  <si>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</si>
  <si>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</si>
  <si>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</si>
  <si>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</si>
  <si>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</si>
  <si>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</si>
  <si>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</si>
  <si>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</si>
  <si>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</si>
  <si>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</si>
  <si>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</si>
  <si>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</si>
  <si>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</si>
  <si>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</si>
  <si>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</si>
  <si>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</si>
  <si>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</si>
  <si>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</si>
  <si>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</si>
  <si>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</si>
  <si>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</si>
  <si>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</si>
  <si>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</si>
  <si>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</si>
  <si>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</si>
  <si>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</si>
  <si>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</si>
  <si>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</si>
  <si>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</si>
  <si>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</si>
  <si>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</si>
  <si>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</si>
  <si>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</si>
  <si>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</si>
  <si>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</si>
  <si>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</si>
  <si>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</si>
  <si>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</si>
  <si>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</si>
  <si>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</si>
  <si>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</si>
  <si>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</si>
  <si>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</si>
  <si>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</si>
  <si>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</si>
  <si>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</si>
  <si>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</si>
  <si>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</si>
  <si>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</si>
  <si>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</si>
  <si>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</si>
  <si>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</si>
  <si>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</si>
  <si>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</si>
  <si>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</si>
  <si>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</si>
  <si>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</si>
  <si>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</si>
  <si>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</si>
  <si>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</si>
  <si>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</si>
  <si>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</si>
  <si>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Se tiene establecido manual de funciones</t>
  </si>
  <si>
    <t>La Entidad no tiene establecido una evaluacion para los trabajdores oficiales</t>
  </si>
  <si>
    <t>La entidad cumple con la normatividad para la devicunlacion de su personal</t>
  </si>
  <si>
    <t>La Entidad presenta sus informes de gestion a las autoridades competentes</t>
  </si>
  <si>
    <t>La Entidad actualiza sus riesgoa a erectos de identificar cambios en su entorno</t>
  </si>
  <si>
    <t>La Entidad establecio mapa de riesgos institucional</t>
  </si>
  <si>
    <t>La Entidad establecio un plan anticorrupcion</t>
  </si>
  <si>
    <t>La Entida tiene establecido sus riesgos asociados con la  TIC</t>
  </si>
  <si>
    <t>La entidad realiza seguimiento a sus riesgos</t>
  </si>
  <si>
    <t>Se publica en la pagina web</t>
  </si>
  <si>
    <t>ACUAVALLE S.A. ESP</t>
  </si>
  <si>
    <t>Rendicion de cuentas, pagina web, comunicados</t>
  </si>
  <si>
    <t>Seguimiento, auditorias internas por la Direccion de Control Interno</t>
  </si>
  <si>
    <t>Seguimiento a los planes de mejoramiento suscritos tanto internos como externos.</t>
  </si>
  <si>
    <t>Se toman medidas para atender los problemas que afectan las funciones y objetivos institucionales</t>
  </si>
  <si>
    <t>La Entidad requiere fotarlecer las TIC</t>
  </si>
  <si>
    <t>La Entidad hace parte del Comité Departamental de auditoria</t>
  </si>
  <si>
    <t>Se requiere tener lista de chequeo, evaluar indicadores periodicamente, evaluacion plan accion de manera fisica</t>
  </si>
  <si>
    <t>LA ENTIDAD CUENTA CON UN NIVEL DIRECTIVO, LIDERES DE PROCESOS,   EL COMITÉ DE GERENCIA, COMITÉ INSTITUCIONAL DE COORDINACION DE CONTROL INTERNO Y LA DIRECCION DE CONTROL INTERNO, PARA LA TOMA DE DECISIONES</t>
  </si>
  <si>
    <t>1. La entidad demuestra el compromiso con la Integridad, promomueve los Valores establecidos para sus servidores publicos.
2. La Alta Dirección realiza evaluación periódica de la Planeación Institucional.
3. La Direccion de Planeacion lidera la actualizacion de los riesgos y su monitoreo
Debilidades:
1. Mejorar  el monitoreo de la ejecución del Plan Estratégico y plan de accion fisico
2. Mejorar la implementacion de las lineaS de defensa 
4. Fortalecer el seguimiento y control de la gestion documental en las Dependencias, acorde con las Tablas de Retención Documental aprobadas en la entidad.
5. Establecer el mecanismo que permita evaluar a los trabajadores oficiales para evaluar el cumplimiento de sus funciones</t>
  </si>
  <si>
    <t xml:space="preserve">
Fortalezas:
1. Se han establecido mapas de riesgos y se hace monitoreo y seguimiento.
2. Minima evidencia de la materializacion de riesgos
3. Evaluacion independiente del sistema de control interno
Debilidades: 
1. Mejorar los monitoreos que permitan identificar otros riesgos, hacer su analisis, evaluacion medicion y control para evitar su materializacion. Es necesario actualizarlos en forma más periodica
2. Mejorar el autocontrol en los funcionarios de cada Dependencia
</t>
  </si>
  <si>
    <t xml:space="preserve">
Fortaleza: 
1. Monitoreo de los riesgos a las dependencias por la Direccion de Planeacion
2. Mejoramiento en el cumplimiento de los procedimientos
Debilidades:
1. Mejorar la actualizacion, identificacion, analisis, evaluacion, mediicion y control de los riesgos 
2. Mejorar la actualizacion e implementacion del MIPG
3. Mejorar la aplicacion de las TRD, realizar su actualizacion</t>
  </si>
  <si>
    <t xml:space="preserve">Fortalezas:
1. El Comité Institucional de Coordinación de Control Interno analisa y aprueba el programa anual de auditorias de cada vigencia
2. Se vienen ejecutando las auditorias internas programadas
3. Se realiza monitoreo al plan de accion de la vigencia
4. se realiza monitoreo a los riesgos establecidos en el mapa de iresgos institucional y de corrupcion
4. Evaluación de la efectividad de los planes de mejoramiento 
Debilidades:
1. Continuar la definición y documentación de la implementacion del MIPG
2. Falta de evaluacion fisica del plan de acccion
3. Mejorar la planeacion institucional contractual
4. Evaluar periodicamente los indicadores
5. Crear listas de chequeo especialmente para la contratacion
</t>
  </si>
  <si>
    <t>La Direccion de planeacion tiene actualizado el MECI</t>
  </si>
  <si>
    <t>Se establecio el plan estrategico de la Entidad periodo 2020 -2023</t>
  </si>
  <si>
    <t>Se establecio el Código de Integridad</t>
  </si>
  <si>
    <t>Se cuenta con un organigrama que contempla la estructura de la Entidad, actualizada al 2017</t>
  </si>
  <si>
    <t>Se actualizacon el mapa de procesos</t>
  </si>
  <si>
    <t>La Entidad establecio vinculacion general como trabajadores oficiales y nivel directivo de libre nombramiento</t>
  </si>
  <si>
    <t>La Entidad Aprobo su el proceso de induccion, plan de capacitacion y bienestar social</t>
  </si>
  <si>
    <t>La Entidad rinde cuentas a la Comunidad</t>
  </si>
  <si>
    <t>Se realizan periodicamente  reuniones de comité de gerencia, del comité institucionald e control interno</t>
  </si>
  <si>
    <t>Se hace monitoreo y seguimiento al plan anticorrupcion</t>
  </si>
  <si>
    <t>Se tratan en Comité, algunos lo hacen directamente los lidres del equipo</t>
  </si>
  <si>
    <t>Se realiza monitoreo por las Dependencias bajo la coordinacion de planeacion y seguimiento por la Direccion de Control interno</t>
  </si>
  <si>
    <t>Se monitoreo a efectos de tomar las medidas preventivas que eviten la materializacion de riesgos</t>
  </si>
  <si>
    <t>Se tiene establecido un plan anticorrupcion y el mapa de riesgos institucional por procesos</t>
  </si>
  <si>
    <t>El nivel directivo debe garantizar la informacion institucional</t>
  </si>
  <si>
    <t>Es necesario mejorar los canales de comunicación con los ciudadanos</t>
  </si>
  <si>
    <t>Se cumple con los reportes de informacion a los organismos de control</t>
  </si>
  <si>
    <t>Se debe mejorar el tratamiento de la informacion reservada</t>
  </si>
  <si>
    <t>Los procesos y procedimientoes etablecidos permite la opperacion de la empresa</t>
  </si>
  <si>
    <t>Suscripcion de Planes de mejoramiento</t>
  </si>
  <si>
    <t>Con elmonitoreo, seguimiento a los riesgos se previene la materializacion de riesgos</t>
  </si>
  <si>
    <t>Los lideres de procesos hacen monitoreo</t>
  </si>
  <si>
    <t>Se deben mejorar la planeacion en los controles que permitan el cumplimiento de metas y objetivos institucionales oportunamente</t>
  </si>
  <si>
    <t xml:space="preserve">Fortalezas:
1. La entidad ha mejorado su sistemas de información
2. La entidad ha mejorado la atencion de las PQRS
3. La entidad ha mejorado la comunicación con  sus usuarios y comunidad a traves de la pagina wweb, wassapp institucional, intervenciones en cana TV regional
Debilidades:
1. La Entidad no evalua periodicamente la accesibiliad y uso de los canales de comunicación con sus usuarios y comunidad
2. Fortalecer la cobertura para hacer llegar la informacion de interés a los usuarios en los municipios
3. Mejorar la estructura y funcionabilidad de las TIC.
</t>
  </si>
  <si>
    <t>Se hace seguimiento y se envia al representante legal, se publica en la pagina weeb de la entidad</t>
  </si>
  <si>
    <t>Se realizan los monitoreos y se evita que se materialicen los riesgos</t>
  </si>
  <si>
    <t xml:space="preserve"> La Direcion de control Interno, realiza auditorias internas y los lideres de proceso realizan acciones de mejora</t>
  </si>
  <si>
    <t>Se  mejora  en la planeacion contractual</t>
  </si>
  <si>
    <t xml:space="preserve"> JULIO-DICIEMBRE 2022</t>
  </si>
  <si>
    <t>LOS COMPONENTES DEL MECI ESTAN INTEGRADOS, SE DEBE MEJORAR LA INTERELACION CON EL MIPG</t>
  </si>
  <si>
    <t>SE EVIDENCIA EL CUMPLIMIENTO DE LOS OBJETIVOS , SE DEBE MEJORAR LA PLANEACION EN LA EJECUCION FISICA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</si>
</sst>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7"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10"/>
      <color theme="1"/>
      <name val="Arial"/>
      <family val="2"/>
    </font>
    <font>
      <b/>
      <sz val="25"/>
      <color theme="1"/>
      <name val="Arial Narrow"/>
      <family val="2"/>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32">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0" xfId="0" applyFill="1" applyBorder="1"/>
    <xf numFmtId="0" fontId="7" fillId="4" borderId="0" xfId="0" applyFont="1" applyFill="1" applyBorder="1" applyAlignment="1">
      <alignment horizontal="center"/>
    </xf>
    <xf numFmtId="0" fontId="0" fillId="4" borderId="21"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1"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4" xfId="0" applyFill="1" applyBorder="1"/>
    <xf numFmtId="0" fontId="0" fillId="4" borderId="35" xfId="0" applyFill="1" applyBorder="1"/>
    <xf numFmtId="0" fontId="0" fillId="4" borderId="36"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applyProtection="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applyBorder="1" applyProtection="1"/>
    <xf numFmtId="0" fontId="26" fillId="4" borderId="59" xfId="3" applyFont="1" applyFill="1" applyBorder="1" applyAlignment="1" applyProtection="1">
      <alignment vertical="top" wrapText="1"/>
    </xf>
    <xf numFmtId="0" fontId="26" fillId="4" borderId="0" xfId="3" applyFont="1" applyFill="1" applyBorder="1" applyAlignment="1" applyProtection="1">
      <alignment vertical="top" wrapText="1"/>
    </xf>
    <xf numFmtId="0" fontId="26" fillId="4" borderId="60" xfId="3" applyFont="1" applyFill="1" applyBorder="1" applyAlignment="1" applyProtection="1">
      <alignment vertical="top" wrapText="1"/>
    </xf>
    <xf numFmtId="0" fontId="26" fillId="4" borderId="59" xfId="3" applyFont="1" applyFill="1" applyBorder="1" applyAlignment="1" applyProtection="1">
      <alignment horizontal="left" vertical="top"/>
    </xf>
    <xf numFmtId="0" fontId="26" fillId="4" borderId="60" xfId="3" applyFont="1" applyFill="1" applyBorder="1" applyAlignment="1" applyProtection="1">
      <alignment horizontal="left" vertical="top"/>
    </xf>
    <xf numFmtId="0" fontId="26" fillId="4" borderId="59" xfId="3" applyFont="1" applyFill="1" applyBorder="1" applyProtection="1"/>
    <xf numFmtId="0" fontId="34" fillId="4" borderId="0" xfId="4" applyFont="1" applyFill="1" applyBorder="1" applyAlignment="1" applyProtection="1">
      <alignment horizontal="left" vertical="top" wrapText="1" readingOrder="1"/>
    </xf>
    <xf numFmtId="0" fontId="26" fillId="4" borderId="60" xfId="3" applyFont="1" applyFill="1" applyBorder="1" applyProtection="1"/>
    <xf numFmtId="0" fontId="26" fillId="4" borderId="72" xfId="3" applyFont="1" applyFill="1" applyBorder="1" applyProtection="1"/>
    <xf numFmtId="0" fontId="26" fillId="4" borderId="73" xfId="3" applyFont="1" applyFill="1" applyBorder="1" applyProtection="1"/>
    <xf numFmtId="0" fontId="26" fillId="4" borderId="74" xfId="3" applyFont="1" applyFill="1" applyBorder="1" applyProtection="1"/>
    <xf numFmtId="0" fontId="34" fillId="4" borderId="0" xfId="0" applyFont="1" applyFill="1" applyBorder="1" applyAlignment="1" applyProtection="1">
      <alignment horizontal="left" vertical="center" wrapText="1"/>
    </xf>
    <xf numFmtId="0" fontId="35" fillId="4" borderId="0" xfId="0" applyFont="1" applyFill="1" applyBorder="1" applyAlignment="1" applyProtection="1">
      <alignment horizontal="left" vertical="top" wrapText="1"/>
    </xf>
    <xf numFmtId="0" fontId="26" fillId="4" borderId="0" xfId="3" quotePrefix="1" applyFont="1" applyFill="1" applyBorder="1" applyAlignment="1" applyProtection="1">
      <alignment horizontal="left" vertical="center" wrapText="1"/>
    </xf>
    <xf numFmtId="0" fontId="26" fillId="4" borderId="60" xfId="3" applyFont="1" applyFill="1" applyBorder="1" applyAlignment="1" applyProtection="1"/>
    <xf numFmtId="0" fontId="32" fillId="4" borderId="0" xfId="3" applyFont="1" applyFill="1" applyBorder="1" applyAlignment="1" applyProtection="1">
      <alignment horizontal="left" vertical="center" wrapText="1"/>
    </xf>
    <xf numFmtId="0" fontId="26" fillId="4" borderId="0" xfId="3" applyFont="1" applyFill="1" applyBorder="1" applyAlignment="1" applyProtection="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Fill="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46" fillId="0" borderId="3"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Fill="1" applyBorder="1" applyAlignment="1">
      <alignment horizontal="center" vertical="center"/>
    </xf>
    <xf numFmtId="0" fontId="53" fillId="0" borderId="0" xfId="0" applyFont="1" applyBorder="1" applyAlignment="1">
      <alignment horizontal="center"/>
    </xf>
    <xf numFmtId="0" fontId="52" fillId="12" borderId="3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5" fillId="4" borderId="0" xfId="2" applyNumberFormat="1" applyFont="1" applyFill="1" applyBorder="1" applyAlignment="1" applyProtection="1">
      <alignment vertical="center" wrapText="1"/>
    </xf>
    <xf numFmtId="0" fontId="35" fillId="4" borderId="0" xfId="2" applyFont="1" applyFill="1" applyBorder="1" applyAlignment="1" applyProtection="1">
      <alignment vertical="center" wrapText="1"/>
    </xf>
    <xf numFmtId="0" fontId="36" fillId="0" borderId="0" xfId="0" applyNumberFormat="1"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9" fillId="0" borderId="9"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8" fillId="0" borderId="79" xfId="0" applyFont="1" applyFill="1" applyBorder="1" applyAlignment="1" applyProtection="1">
      <alignment horizontal="center" vertical="center" wrapText="1"/>
      <protection hidden="1"/>
    </xf>
    <xf numFmtId="0" fontId="43" fillId="0" borderId="2" xfId="0" applyFont="1" applyBorder="1" applyAlignment="1" applyProtection="1">
      <alignment horizontal="center" vertical="center" wrapText="1"/>
      <protection locked="0"/>
    </xf>
    <xf numFmtId="0" fontId="36" fillId="0" borderId="79" xfId="0" applyFont="1" applyBorder="1" applyAlignment="1" applyProtection="1">
      <alignment horizontal="left" vertical="center" wrapText="1"/>
      <protection locked="0"/>
    </xf>
    <xf numFmtId="0" fontId="43" fillId="0" borderId="3"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left" vertical="center" wrapText="1"/>
      <protection locked="0"/>
    </xf>
    <xf numFmtId="0" fontId="43" fillId="0" borderId="3" xfId="0" applyFont="1" applyBorder="1" applyAlignment="1" applyProtection="1">
      <alignment horizontal="center" vertical="center" wrapText="1"/>
      <protection locked="0"/>
    </xf>
    <xf numFmtId="0" fontId="36" fillId="0" borderId="9" xfId="0" applyFont="1" applyBorder="1" applyAlignment="1" applyProtection="1">
      <alignment horizontal="left" vertical="center" wrapText="1"/>
      <protection locked="0"/>
    </xf>
    <xf numFmtId="0" fontId="43" fillId="0" borderId="4" xfId="0" applyFont="1" applyBorder="1" applyAlignment="1" applyProtection="1">
      <alignment horizontal="center" vertical="center" wrapText="1"/>
      <protection locked="0"/>
    </xf>
    <xf numFmtId="0" fontId="36" fillId="0" borderId="80" xfId="0" applyFont="1" applyBorder="1" applyAlignment="1" applyProtection="1">
      <alignment horizontal="left" vertical="center" wrapText="1"/>
      <protection locked="0"/>
    </xf>
    <xf numFmtId="0" fontId="43" fillId="0" borderId="2" xfId="0" applyFont="1" applyFill="1" applyBorder="1" applyAlignment="1" applyProtection="1">
      <alignment horizontal="center" vertical="center" wrapText="1"/>
      <protection locked="0"/>
    </xf>
    <xf numFmtId="0" fontId="36" fillId="0" borderId="79" xfId="0" applyFont="1" applyFill="1" applyBorder="1" applyAlignment="1" applyProtection="1">
      <alignment horizontal="left" vertical="center" wrapText="1"/>
      <protection locked="0"/>
    </xf>
    <xf numFmtId="0" fontId="19" fillId="2" borderId="82" xfId="2" applyFont="1" applyFill="1" applyBorder="1" applyAlignment="1" applyProtection="1">
      <alignment horizontal="center" vertical="center"/>
    </xf>
    <xf numFmtId="0" fontId="19" fillId="2" borderId="82"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Fill="1" applyBorder="1" applyAlignment="1" applyProtection="1">
      <alignment vertical="center" wrapText="1"/>
      <protection hidden="1"/>
    </xf>
    <xf numFmtId="0" fontId="40" fillId="0" borderId="3" xfId="0" applyFont="1" applyFill="1" applyBorder="1" applyAlignment="1" applyProtection="1">
      <alignment vertical="center" wrapText="1"/>
      <protection hidden="1"/>
    </xf>
    <xf numFmtId="0" fontId="40" fillId="0" borderId="7" xfId="0" applyFont="1" applyFill="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53" fillId="4" borderId="2" xfId="0" applyNumberFormat="1" applyFont="1" applyFill="1" applyBorder="1" applyAlignment="1" applyProtection="1">
      <alignment horizontal="center" vertical="center" wrapText="1"/>
      <protection locked="0"/>
    </xf>
    <xf numFmtId="49" fontId="53" fillId="4" borderId="3" xfId="0" applyNumberFormat="1" applyFont="1" applyFill="1" applyBorder="1" applyAlignment="1" applyProtection="1">
      <alignment horizontal="center" vertical="center" wrapText="1"/>
      <protection locked="0"/>
    </xf>
    <xf numFmtId="49" fontId="53" fillId="4" borderId="4" xfId="0" applyNumberFormat="1" applyFont="1" applyFill="1" applyBorder="1" applyAlignment="1" applyProtection="1">
      <alignment horizontal="center" vertical="center" wrapText="1"/>
      <protection locked="0"/>
    </xf>
    <xf numFmtId="0" fontId="30" fillId="0" borderId="58" xfId="3" applyFont="1" applyBorder="1" applyAlignment="1" applyProtection="1">
      <alignment horizontal="center" vertical="center" wrapText="1"/>
    </xf>
    <xf numFmtId="0" fontId="30" fillId="0" borderId="55" xfId="3" applyFont="1" applyBorder="1" applyAlignment="1" applyProtection="1">
      <alignment horizontal="center" vertical="center" wrapText="1"/>
    </xf>
    <xf numFmtId="0" fontId="30" fillId="0" borderId="8" xfId="3" applyFont="1" applyBorder="1" applyAlignment="1" applyProtection="1">
      <alignment horizontal="center" vertical="center" wrapText="1"/>
    </xf>
    <xf numFmtId="0" fontId="26" fillId="0" borderId="59" xfId="3" quotePrefix="1" applyFont="1" applyBorder="1" applyAlignment="1" applyProtection="1">
      <alignment horizontal="left" vertical="center" wrapText="1"/>
    </xf>
    <xf numFmtId="0" fontId="26" fillId="0" borderId="0" xfId="3" quotePrefix="1" applyFont="1" applyBorder="1" applyAlignment="1" applyProtection="1">
      <alignment horizontal="left" vertical="center" wrapText="1"/>
    </xf>
    <xf numFmtId="0" fontId="26" fillId="0" borderId="60" xfId="3" quotePrefix="1" applyFont="1" applyBorder="1" applyAlignment="1" applyProtection="1">
      <alignment horizontal="left" vertical="center" wrapText="1"/>
    </xf>
    <xf numFmtId="0" fontId="31" fillId="4" borderId="59" xfId="3" quotePrefix="1" applyFont="1" applyFill="1" applyBorder="1" applyAlignment="1" applyProtection="1">
      <alignment horizontal="left" vertical="top" wrapText="1"/>
    </xf>
    <xf numFmtId="0" fontId="25" fillId="4" borderId="0" xfId="3" quotePrefix="1" applyFont="1" applyFill="1" applyBorder="1" applyAlignment="1" applyProtection="1">
      <alignment horizontal="left" vertical="top" wrapText="1"/>
    </xf>
    <xf numFmtId="0" fontId="25" fillId="4" borderId="60" xfId="3" quotePrefix="1" applyFont="1" applyFill="1" applyBorder="1" applyAlignment="1" applyProtection="1">
      <alignment horizontal="left" vertical="top" wrapText="1"/>
    </xf>
    <xf numFmtId="0" fontId="26" fillId="4" borderId="59" xfId="3" quotePrefix="1" applyFont="1" applyFill="1" applyBorder="1" applyAlignment="1" applyProtection="1">
      <alignment horizontal="left" vertical="top" wrapText="1"/>
    </xf>
    <xf numFmtId="0" fontId="26" fillId="4" borderId="0" xfId="3" quotePrefix="1" applyFont="1" applyFill="1" applyBorder="1" applyAlignment="1" applyProtection="1">
      <alignment horizontal="left" vertical="top" wrapText="1"/>
    </xf>
    <xf numFmtId="0" fontId="26" fillId="4" borderId="60" xfId="3" quotePrefix="1" applyFont="1" applyFill="1" applyBorder="1" applyAlignment="1" applyProtection="1">
      <alignment horizontal="left" vertical="top" wrapText="1"/>
    </xf>
    <xf numFmtId="0" fontId="34" fillId="16" borderId="61" xfId="4" applyFont="1" applyFill="1" applyBorder="1" applyAlignment="1" applyProtection="1">
      <alignment horizontal="center" vertical="center" wrapText="1"/>
    </xf>
    <xf numFmtId="0" fontId="34" fillId="16" borderId="62" xfId="4" applyFont="1" applyFill="1" applyBorder="1" applyAlignment="1" applyProtection="1">
      <alignment horizontal="center" vertical="center" wrapText="1"/>
    </xf>
    <xf numFmtId="0" fontId="34" fillId="16" borderId="63" xfId="3" applyFont="1" applyFill="1" applyBorder="1" applyAlignment="1" applyProtection="1">
      <alignment horizontal="center" vertical="center"/>
    </xf>
    <xf numFmtId="0" fontId="34" fillId="16" borderId="64" xfId="3" applyFont="1" applyFill="1" applyBorder="1" applyAlignment="1" applyProtection="1">
      <alignment horizontal="center" vertical="center"/>
    </xf>
    <xf numFmtId="0" fontId="34" fillId="4" borderId="75" xfId="4" applyFont="1" applyFill="1" applyBorder="1" applyAlignment="1" applyProtection="1">
      <alignment horizontal="left" vertical="center" wrapText="1" readingOrder="1"/>
    </xf>
    <xf numFmtId="0" fontId="34" fillId="4" borderId="76" xfId="4" applyFont="1" applyFill="1" applyBorder="1" applyAlignment="1" applyProtection="1">
      <alignment horizontal="left" vertical="center" wrapText="1" readingOrder="1"/>
    </xf>
    <xf numFmtId="0" fontId="35" fillId="0" borderId="65" xfId="3" applyFont="1" applyFill="1" applyBorder="1" applyAlignment="1" applyProtection="1">
      <alignment horizontal="left" vertical="center" wrapText="1"/>
    </xf>
    <xf numFmtId="0" fontId="35" fillId="0" borderId="66" xfId="3" applyFont="1" applyFill="1" applyBorder="1" applyAlignment="1" applyProtection="1">
      <alignment horizontal="left" vertical="center" wrapText="1"/>
    </xf>
    <xf numFmtId="0" fontId="34" fillId="4" borderId="67" xfId="0" applyFont="1" applyFill="1" applyBorder="1" applyAlignment="1" applyProtection="1">
      <alignment horizontal="left" vertical="center" wrapText="1"/>
    </xf>
    <xf numFmtId="0" fontId="34" fillId="4" borderId="68" xfId="0" applyFont="1" applyFill="1" applyBorder="1" applyAlignment="1" applyProtection="1">
      <alignment horizontal="left" vertical="center" wrapText="1"/>
    </xf>
    <xf numFmtId="0" fontId="35" fillId="0" borderId="69" xfId="3" applyFont="1" applyFill="1" applyBorder="1" applyAlignment="1" applyProtection="1">
      <alignment horizontal="left" vertical="center" wrapText="1"/>
    </xf>
    <xf numFmtId="0" fontId="35" fillId="0" borderId="70" xfId="3" applyFont="1" applyFill="1" applyBorder="1" applyAlignment="1" applyProtection="1">
      <alignment horizontal="left" vertical="center" wrapText="1"/>
    </xf>
    <xf numFmtId="0" fontId="35" fillId="0" borderId="69" xfId="3" applyFont="1" applyFill="1" applyBorder="1" applyAlignment="1" applyProtection="1">
      <alignment horizontal="left" vertical="top" wrapText="1"/>
    </xf>
    <xf numFmtId="0" fontId="35" fillId="0" borderId="70" xfId="3" applyFont="1" applyFill="1" applyBorder="1" applyAlignment="1" applyProtection="1">
      <alignment horizontal="left" vertical="top" wrapText="1"/>
    </xf>
    <xf numFmtId="0" fontId="26" fillId="4" borderId="59" xfId="3" applyFont="1" applyFill="1" applyBorder="1" applyAlignment="1" applyProtection="1">
      <alignment horizontal="left" vertical="top" wrapText="1"/>
    </xf>
    <xf numFmtId="0" fontId="26" fillId="4" borderId="0" xfId="3" applyFont="1" applyFill="1" applyBorder="1" applyAlignment="1" applyProtection="1">
      <alignment horizontal="left" vertical="top" wrapText="1"/>
    </xf>
    <xf numFmtId="0" fontId="26" fillId="4" borderId="60" xfId="3" applyFont="1" applyFill="1" applyBorder="1" applyAlignment="1" applyProtection="1">
      <alignment horizontal="left" vertical="top" wrapText="1"/>
    </xf>
    <xf numFmtId="0" fontId="26" fillId="4" borderId="0" xfId="3" applyFont="1" applyFill="1" applyBorder="1" applyAlignment="1" applyProtection="1"/>
    <xf numFmtId="0" fontId="34" fillId="4" borderId="77" xfId="0" applyFont="1" applyFill="1" applyBorder="1" applyAlignment="1" applyProtection="1">
      <alignment horizontal="left" vertical="center" wrapText="1"/>
    </xf>
    <xf numFmtId="0" fontId="34" fillId="4" borderId="78" xfId="0" applyFont="1" applyFill="1" applyBorder="1" applyAlignment="1" applyProtection="1">
      <alignment horizontal="left"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7" borderId="50" xfId="2" applyNumberFormat="1" applyFont="1" applyFill="1" applyBorder="1" applyAlignment="1" applyProtection="1">
      <alignment horizontal="center" vertical="center"/>
    </xf>
    <xf numFmtId="0" fontId="25" fillId="7" borderId="51" xfId="2" applyNumberFormat="1" applyFont="1" applyFill="1" applyBorder="1" applyAlignment="1" applyProtection="1">
      <alignment horizontal="center" vertical="center"/>
    </xf>
    <xf numFmtId="0" fontId="26" fillId="0" borderId="56" xfId="2" applyFont="1" applyFill="1" applyBorder="1" applyAlignment="1" applyProtection="1">
      <alignment horizontal="justify" vertical="center" wrapText="1"/>
    </xf>
    <xf numFmtId="0" fontId="26" fillId="0" borderId="57" xfId="2" applyFont="1" applyFill="1" applyBorder="1" applyAlignment="1" applyProtection="1">
      <alignment horizontal="justify" vertical="center" wrapText="1"/>
    </xf>
    <xf numFmtId="0" fontId="25" fillId="8" borderId="52" xfId="2" applyNumberFormat="1" applyFont="1" applyFill="1" applyBorder="1" applyAlignment="1" applyProtection="1">
      <alignment horizontal="center" vertical="center" wrapText="1"/>
    </xf>
    <xf numFmtId="0" fontId="25" fillId="8" borderId="53" xfId="2" applyNumberFormat="1" applyFont="1" applyFill="1" applyBorder="1" applyAlignment="1" applyProtection="1">
      <alignment horizontal="center" vertical="center"/>
    </xf>
    <xf numFmtId="0" fontId="26" fillId="0" borderId="53" xfId="2" applyFont="1" applyFill="1" applyBorder="1" applyAlignment="1" applyProtection="1">
      <alignment horizontal="justify" vertical="center" wrapText="1"/>
    </xf>
    <xf numFmtId="0" fontId="26" fillId="0" borderId="54" xfId="2" applyFont="1" applyFill="1" applyBorder="1" applyAlignment="1" applyProtection="1">
      <alignment horizontal="justify" vertical="center" wrapText="1"/>
    </xf>
    <xf numFmtId="0" fontId="37" fillId="4" borderId="71" xfId="2" applyNumberFormat="1" applyFont="1" applyFill="1" applyBorder="1" applyAlignment="1" applyProtection="1">
      <alignment horizontal="center" vertical="center" wrapText="1"/>
    </xf>
    <xf numFmtId="0" fontId="24" fillId="4" borderId="71" xfId="2" applyFont="1" applyFill="1" applyBorder="1" applyAlignment="1" applyProtection="1">
      <alignment horizontal="center" vertical="center" wrapText="1"/>
    </xf>
    <xf numFmtId="0" fontId="17" fillId="2" borderId="46" xfId="2" applyNumberFormat="1" applyFont="1" applyFill="1" applyBorder="1" applyAlignment="1" applyProtection="1">
      <alignment horizontal="center" vertical="center" wrapText="1"/>
    </xf>
    <xf numFmtId="0" fontId="25" fillId="14" borderId="47" xfId="2" applyNumberFormat="1" applyFont="1" applyFill="1" applyBorder="1" applyAlignment="1" applyProtection="1">
      <alignment horizontal="center" vertical="center"/>
    </xf>
    <xf numFmtId="0" fontId="25" fillId="14" borderId="48" xfId="2" applyNumberFormat="1" applyFont="1" applyFill="1" applyBorder="1" applyAlignment="1" applyProtection="1">
      <alignment horizontal="center" vertical="center"/>
    </xf>
    <xf numFmtId="0" fontId="26" fillId="0" borderId="48" xfId="2" applyFont="1" applyFill="1" applyBorder="1" applyAlignment="1" applyProtection="1">
      <alignment horizontal="justify" vertical="center" wrapText="1"/>
    </xf>
    <xf numFmtId="0" fontId="26" fillId="0" borderId="49" xfId="2" applyFont="1" applyFill="1" applyBorder="1" applyAlignment="1" applyProtection="1">
      <alignment horizontal="justify"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0" fontId="44" fillId="10" borderId="12" xfId="0"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49" fontId="45" fillId="5" borderId="0" xfId="0" applyNumberFormat="1" applyFont="1" applyFill="1" applyBorder="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3"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3" xfId="0" applyFont="1" applyFill="1" applyBorder="1" applyAlignment="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19" fillId="3" borderId="32" xfId="2" applyFont="1" applyFill="1" applyBorder="1" applyAlignment="1" applyProtection="1">
      <alignment horizontal="center" vertical="center" wrapText="1"/>
    </xf>
    <xf numFmtId="0" fontId="19" fillId="3" borderId="33" xfId="2" applyFont="1" applyFill="1" applyBorder="1" applyAlignment="1" applyProtection="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pplyProtection="1">
      <alignment horizontal="center" vertical="center" wrapText="1"/>
    </xf>
    <xf numFmtId="0" fontId="19" fillId="2" borderId="83"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3" xfId="2" applyFont="1" applyFill="1" applyBorder="1" applyAlignment="1" applyProtection="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center" vertical="center"/>
      <protection locked="0"/>
    </xf>
    <xf numFmtId="164" fontId="56" fillId="4" borderId="23" xfId="0" applyNumberFormat="1" applyFont="1" applyFill="1" applyBorder="1" applyAlignment="1" applyProtection="1">
      <alignment horizontal="center" vertical="center"/>
      <protection locked="0"/>
    </xf>
    <xf numFmtId="164" fontId="56" fillId="4" borderId="9" xfId="0" applyNumberFormat="1" applyFont="1" applyFill="1" applyBorder="1" applyAlignment="1" applyProtection="1">
      <alignment horizontal="center"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0" fillId="4" borderId="2" xfId="0" applyNumberFormat="1" applyFill="1" applyBorder="1" applyAlignment="1" applyProtection="1">
      <alignment horizontal="left" vertical="center" wrapText="1"/>
      <protection locked="0"/>
    </xf>
    <xf numFmtId="49" fontId="0" fillId="4" borderId="84" xfId="0" applyNumberFormat="1" applyFill="1" applyBorder="1" applyAlignment="1" applyProtection="1">
      <alignment horizontal="left" vertical="center" wrapText="1"/>
      <protection locked="0"/>
    </xf>
    <xf numFmtId="49" fontId="0" fillId="4" borderId="3" xfId="0" applyNumberFormat="1" applyFill="1" applyBorder="1" applyAlignment="1" applyProtection="1">
      <alignment horizontal="left" vertical="center" wrapText="1"/>
      <protection locked="0"/>
    </xf>
    <xf numFmtId="49" fontId="0" fillId="4" borderId="85" xfId="0" applyNumberFormat="1" applyFill="1" applyBorder="1" applyAlignment="1" applyProtection="1">
      <alignment horizontal="left" vertical="center" wrapText="1"/>
      <protection locked="0"/>
    </xf>
    <xf numFmtId="49" fontId="0" fillId="4" borderId="4" xfId="0" applyNumberFormat="1" applyFill="1" applyBorder="1" applyAlignment="1" applyProtection="1">
      <alignment horizontal="left" vertical="center" wrapText="1"/>
      <protection locked="0"/>
    </xf>
    <xf numFmtId="49" fontId="0" fillId="4" borderId="86" xfId="0" applyNumberFormat="1" applyFill="1" applyBorder="1" applyAlignment="1" applyProtection="1">
      <alignment horizontal="left" vertical="center" wrapText="1"/>
      <protection locked="0"/>
    </xf>
    <xf numFmtId="0" fontId="55" fillId="0" borderId="24" xfId="0" applyFont="1" applyBorder="1" applyAlignment="1" applyProtection="1">
      <alignment horizontal="justify" vertical="top" wrapText="1"/>
      <protection locked="0"/>
    </xf>
    <xf numFmtId="0" fontId="55" fillId="0" borderId="1" xfId="0" applyFont="1" applyBorder="1" applyAlignment="1" applyProtection="1">
      <alignment horizontal="justify" vertical="top" wrapText="1"/>
      <protection locked="0"/>
    </xf>
    <xf numFmtId="0" fontId="55" fillId="0" borderId="25" xfId="0" applyFont="1" applyBorder="1" applyAlignment="1" applyProtection="1">
      <alignment horizontal="justify" vertical="top" wrapText="1"/>
      <protection locked="0"/>
    </xf>
    <xf numFmtId="0" fontId="55" fillId="0" borderId="1" xfId="0" applyFont="1" applyBorder="1" applyAlignment="1" applyProtection="1">
      <alignment horizontal="justify" vertical="top"/>
      <protection locked="0"/>
    </xf>
    <xf numFmtId="0" fontId="55" fillId="0" borderId="25" xfId="0" applyFont="1" applyBorder="1" applyAlignment="1" applyProtection="1">
      <alignment horizontal="justify" vertical="top"/>
      <protection locked="0"/>
    </xf>
    <xf numFmtId="0" fontId="52" fillId="12" borderId="0" xfId="0" applyFont="1" applyFill="1" applyBorder="1" applyAlignment="1">
      <alignment horizontal="center" vertical="center" wrapText="1"/>
    </xf>
    <xf numFmtId="0" fontId="29" fillId="0" borderId="2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protection locked="0"/>
    </xf>
    <xf numFmtId="0" fontId="29" fillId="0" borderId="25" xfId="0" applyFont="1" applyFill="1" applyBorder="1" applyAlignment="1" applyProtection="1">
      <alignment horizontal="left" vertical="center"/>
      <protection locked="0"/>
    </xf>
    <xf numFmtId="0" fontId="0" fillId="0" borderId="73" xfId="0" applyBorder="1" applyAlignment="1">
      <alignment horizontal="center"/>
    </xf>
    <xf numFmtId="0" fontId="0" fillId="0" borderId="1" xfId="0" applyBorder="1" applyAlignment="1">
      <alignment horizontal="center"/>
    </xf>
  </cellXfs>
  <cellStyles count="5">
    <cellStyle name="Normal" xfId="0" builtinId="0"/>
    <cellStyle name="Normal - Style1 2" xfId="3"/>
    <cellStyle name="Normal 2" xfId="2"/>
    <cellStyle name="Normal 2 2" xfId="4"/>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13" zoomScale="90" zoomScaleNormal="90" workbookViewId="0">
      <selection activeCell="B2" sqref="B2:H2"/>
    </sheetView>
  </sheetViews>
  <sheetFormatPr baseColWidth="10" defaultColWidth="0" defaultRowHeight="13.8" zeroHeight="1" x14ac:dyDescent="0.3"/>
  <cols>
    <col min="1" max="1" width="3.88671875" style="45" customWidth="1"/>
    <col min="2" max="2" width="15.33203125" style="45" customWidth="1"/>
    <col min="3" max="3" width="17.33203125" style="45" customWidth="1"/>
    <col min="4" max="4" width="28.5546875" style="45" customWidth="1"/>
    <col min="5" max="5" width="12.88671875" style="45" customWidth="1"/>
    <col min="6" max="6" width="47.109375" style="45" customWidth="1"/>
    <col min="7" max="7" width="21.44140625" style="45" customWidth="1"/>
    <col min="8" max="8" width="6.5546875" style="45" customWidth="1"/>
    <col min="9" max="9" width="2.5546875" style="45" customWidth="1"/>
    <col min="10" max="16384" width="11.44140625" style="45" hidden="1"/>
  </cols>
  <sheetData>
    <row r="1" spans="2:8" ht="14.4" thickBot="1" x14ac:dyDescent="0.35"/>
    <row r="2" spans="2:8" ht="73.5" customHeight="1" x14ac:dyDescent="0.3">
      <c r="B2" s="164" t="s">
        <v>0</v>
      </c>
      <c r="C2" s="165"/>
      <c r="D2" s="165"/>
      <c r="E2" s="165"/>
      <c r="F2" s="165"/>
      <c r="G2" s="165"/>
      <c r="H2" s="166"/>
    </row>
    <row r="3" spans="2:8" ht="65.25" customHeight="1" x14ac:dyDescent="0.3">
      <c r="B3" s="167" t="s">
        <v>1</v>
      </c>
      <c r="C3" s="168"/>
      <c r="D3" s="168"/>
      <c r="E3" s="168"/>
      <c r="F3" s="168"/>
      <c r="G3" s="168"/>
      <c r="H3" s="169"/>
    </row>
    <row r="4" spans="2:8" ht="82.5" customHeight="1" x14ac:dyDescent="0.3">
      <c r="B4" s="167"/>
      <c r="C4" s="168"/>
      <c r="D4" s="168"/>
      <c r="E4" s="168"/>
      <c r="F4" s="168"/>
      <c r="G4" s="168"/>
      <c r="H4" s="169"/>
    </row>
    <row r="5" spans="2:8" ht="21.75" customHeight="1" x14ac:dyDescent="0.3">
      <c r="B5" s="170" t="s">
        <v>2</v>
      </c>
      <c r="C5" s="171"/>
      <c r="D5" s="171"/>
      <c r="E5" s="171"/>
      <c r="F5" s="171"/>
      <c r="G5" s="171"/>
      <c r="H5" s="172"/>
    </row>
    <row r="6" spans="2:8" ht="42" customHeight="1" x14ac:dyDescent="0.3">
      <c r="B6" s="173" t="s">
        <v>3</v>
      </c>
      <c r="C6" s="174"/>
      <c r="D6" s="174"/>
      <c r="E6" s="174"/>
      <c r="F6" s="174"/>
      <c r="G6" s="174"/>
      <c r="H6" s="175"/>
    </row>
    <row r="7" spans="2:8" ht="14.25" customHeight="1" x14ac:dyDescent="0.3">
      <c r="B7" s="173"/>
      <c r="C7" s="174"/>
      <c r="D7" s="174"/>
      <c r="E7" s="174"/>
      <c r="F7" s="174"/>
      <c r="G7" s="174"/>
      <c r="H7" s="175"/>
    </row>
    <row r="8" spans="2:8" ht="12.75" customHeight="1" thickBot="1" x14ac:dyDescent="0.35">
      <c r="B8" s="57"/>
      <c r="C8" s="51"/>
      <c r="D8" s="67"/>
      <c r="E8" s="68"/>
      <c r="F8" s="68"/>
      <c r="G8" s="65"/>
      <c r="H8" s="66"/>
    </row>
    <row r="9" spans="2:8" ht="21" customHeight="1" thickTop="1" x14ac:dyDescent="0.3">
      <c r="B9" s="57"/>
      <c r="C9" s="176" t="s">
        <v>4</v>
      </c>
      <c r="D9" s="177"/>
      <c r="E9" s="178" t="s">
        <v>5</v>
      </c>
      <c r="F9" s="179"/>
      <c r="G9" s="51"/>
      <c r="H9" s="59"/>
    </row>
    <row r="10" spans="2:8" ht="37.5" customHeight="1" x14ac:dyDescent="0.3">
      <c r="B10" s="57"/>
      <c r="C10" s="180" t="s">
        <v>6</v>
      </c>
      <c r="D10" s="181"/>
      <c r="E10" s="182" t="s">
        <v>7</v>
      </c>
      <c r="F10" s="183"/>
      <c r="G10" s="51"/>
      <c r="H10" s="59"/>
    </row>
    <row r="11" spans="2:8" ht="39.75" customHeight="1" x14ac:dyDescent="0.3">
      <c r="B11" s="57"/>
      <c r="C11" s="184" t="s">
        <v>8</v>
      </c>
      <c r="D11" s="185"/>
      <c r="E11" s="186" t="s">
        <v>9</v>
      </c>
      <c r="F11" s="187"/>
      <c r="G11" s="51"/>
      <c r="H11" s="59"/>
    </row>
    <row r="12" spans="2:8" ht="59.25" customHeight="1" x14ac:dyDescent="0.3">
      <c r="B12" s="57"/>
      <c r="C12" s="184" t="s">
        <v>10</v>
      </c>
      <c r="D12" s="185"/>
      <c r="E12" s="188" t="s">
        <v>11</v>
      </c>
      <c r="F12" s="189"/>
      <c r="G12" s="51"/>
      <c r="H12" s="59"/>
    </row>
    <row r="13" spans="2:8" ht="33.75" customHeight="1" x14ac:dyDescent="0.3">
      <c r="B13" s="57"/>
      <c r="C13" s="194" t="s">
        <v>12</v>
      </c>
      <c r="D13" s="195"/>
      <c r="E13" s="186" t="s">
        <v>13</v>
      </c>
      <c r="F13" s="187"/>
      <c r="G13" s="51"/>
      <c r="H13" s="59"/>
    </row>
    <row r="14" spans="2:8" ht="19.5" customHeight="1" x14ac:dyDescent="0.3">
      <c r="B14" s="57"/>
      <c r="C14" s="63"/>
      <c r="D14" s="63"/>
      <c r="E14" s="64"/>
      <c r="F14" s="64"/>
      <c r="G14" s="51"/>
      <c r="H14" s="59"/>
    </row>
    <row r="15" spans="2:8" ht="37.5" customHeight="1" thickBot="1" x14ac:dyDescent="0.35">
      <c r="B15" s="190" t="s">
        <v>14</v>
      </c>
      <c r="C15" s="191"/>
      <c r="D15" s="191"/>
      <c r="E15" s="191"/>
      <c r="F15" s="191"/>
      <c r="G15" s="191"/>
      <c r="H15" s="192"/>
    </row>
    <row r="16" spans="2:8" ht="27.75" customHeight="1" thickBot="1" x14ac:dyDescent="0.35">
      <c r="B16" s="57"/>
      <c r="C16" s="196" t="s">
        <v>15</v>
      </c>
      <c r="D16" s="197"/>
      <c r="E16" s="197" t="s">
        <v>16</v>
      </c>
      <c r="F16" s="208"/>
      <c r="G16" s="51"/>
      <c r="H16" s="59"/>
    </row>
    <row r="17" spans="2:8" ht="27.75" customHeight="1" x14ac:dyDescent="0.3">
      <c r="B17" s="57"/>
      <c r="C17" s="209" t="s">
        <v>17</v>
      </c>
      <c r="D17" s="210"/>
      <c r="E17" s="211" t="s">
        <v>18</v>
      </c>
      <c r="F17" s="212"/>
      <c r="G17" s="101"/>
      <c r="H17" s="59"/>
    </row>
    <row r="18" spans="2:8" ht="41.25" customHeight="1" x14ac:dyDescent="0.3">
      <c r="B18" s="57"/>
      <c r="C18" s="198" t="s">
        <v>19</v>
      </c>
      <c r="D18" s="199"/>
      <c r="E18" s="200" t="s">
        <v>20</v>
      </c>
      <c r="F18" s="201"/>
      <c r="G18" s="102"/>
      <c r="H18" s="59"/>
    </row>
    <row r="19" spans="2:8" ht="37.5" customHeight="1" thickBot="1" x14ac:dyDescent="0.35">
      <c r="B19" s="57"/>
      <c r="C19" s="202" t="s">
        <v>21</v>
      </c>
      <c r="D19" s="203"/>
      <c r="E19" s="204" t="s">
        <v>22</v>
      </c>
      <c r="F19" s="205"/>
      <c r="G19" s="102"/>
      <c r="H19" s="59"/>
    </row>
    <row r="20" spans="2:8" ht="11.25" customHeight="1" x14ac:dyDescent="0.3">
      <c r="B20" s="52"/>
      <c r="C20" s="53"/>
      <c r="D20" s="53"/>
      <c r="E20" s="53"/>
      <c r="F20" s="53"/>
      <c r="G20" s="53"/>
      <c r="H20" s="54"/>
    </row>
    <row r="21" spans="2:8" ht="14.25" customHeight="1" x14ac:dyDescent="0.3">
      <c r="B21" s="55"/>
      <c r="C21" s="206"/>
      <c r="D21" s="206"/>
      <c r="E21" s="207"/>
      <c r="F21" s="207"/>
      <c r="G21" s="207"/>
      <c r="H21" s="56"/>
    </row>
    <row r="22" spans="2:8" ht="36" customHeight="1" x14ac:dyDescent="0.3">
      <c r="B22" s="190" t="s">
        <v>23</v>
      </c>
      <c r="C22" s="191"/>
      <c r="D22" s="191"/>
      <c r="E22" s="191"/>
      <c r="F22" s="191"/>
      <c r="G22" s="191"/>
      <c r="H22" s="192"/>
    </row>
    <row r="23" spans="2:8" x14ac:dyDescent="0.3">
      <c r="B23" s="57"/>
      <c r="C23" s="58"/>
      <c r="D23" s="58"/>
      <c r="E23" s="193"/>
      <c r="F23" s="193"/>
      <c r="G23" s="51"/>
      <c r="H23" s="59"/>
    </row>
    <row r="24" spans="2:8" ht="14.4" thickBot="1" x14ac:dyDescent="0.35">
      <c r="B24" s="60"/>
      <c r="C24" s="61"/>
      <c r="D24" s="61"/>
      <c r="E24" s="61"/>
      <c r="F24" s="61"/>
      <c r="G24" s="61"/>
      <c r="H24" s="62"/>
    </row>
    <row r="25" spans="2:8" x14ac:dyDescent="0.3"/>
    <row r="26" spans="2:8" ht="29.25" customHeight="1" x14ac:dyDescent="0.3"/>
    <row r="27" spans="2:8" ht="26.25" customHeight="1" x14ac:dyDescent="0.3"/>
    <row r="28" spans="2:8" ht="43.5" customHeight="1" x14ac:dyDescent="0.3"/>
    <row r="29" spans="2:8" ht="53.25" customHeight="1" x14ac:dyDescent="0.3"/>
    <row r="30" spans="2:8" x14ac:dyDescent="0.3"/>
    <row r="31" spans="2:8" x14ac:dyDescent="0.3"/>
    <row r="32" spans="2:8" x14ac:dyDescent="0.3"/>
    <row r="33" x14ac:dyDescent="0.3"/>
    <row r="34" x14ac:dyDescent="0.3"/>
    <row r="35" x14ac:dyDescent="0.3"/>
    <row r="36" ht="12.75" customHeight="1" x14ac:dyDescent="0.3"/>
    <row r="37" ht="12.75" customHeight="1" x14ac:dyDescent="0.3"/>
    <row r="38" ht="12.75" customHeight="1" x14ac:dyDescent="0.3"/>
    <row r="39" ht="12.75" customHeight="1" x14ac:dyDescent="0.3"/>
    <row r="40" ht="12.75" customHeight="1" x14ac:dyDescent="0.3"/>
    <row r="41" ht="12.75" customHeight="1" x14ac:dyDescent="0.3"/>
    <row r="42" ht="12.75" customHeight="1" x14ac:dyDescent="0.3"/>
    <row r="43" ht="12.75" customHeight="1" x14ac:dyDescent="0.3"/>
    <row r="44" ht="12.75" customHeight="1" x14ac:dyDescent="0.3"/>
    <row r="45" ht="12.75" customHeight="1" x14ac:dyDescent="0.3"/>
    <row r="46" ht="12.75" customHeight="1" x14ac:dyDescent="0.3"/>
    <row r="47" ht="12.75" customHeight="1" x14ac:dyDescent="0.3"/>
    <row r="48" x14ac:dyDescent="0.3"/>
    <row r="52" x14ac:dyDescent="0.3"/>
    <row r="54" x14ac:dyDescent="0.3"/>
  </sheetData>
  <sheetProtection algorithmName="SHA-512" hashValue="t7sIeOvFa2bhukBsHVcHmO5gG9cifT20ZR8W/o5PL1FLs7w8K+KkEm6wLVbMVfYFM8W9luBRuNKu+qdhAWPM7w==" saltValue="H/shNuEdnFDauevCofk8Sw==" spinCount="100000" sheet="1" objects="1" scenarios="1"/>
  <mergeCells count="27">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 ref="C10:D10"/>
    <mergeCell ref="E10:F10"/>
    <mergeCell ref="C11:D11"/>
    <mergeCell ref="E11:F11"/>
    <mergeCell ref="C12:D12"/>
    <mergeCell ref="E12:F12"/>
    <mergeCell ref="B2:H2"/>
    <mergeCell ref="B3:H4"/>
    <mergeCell ref="B5:H5"/>
    <mergeCell ref="B6:H7"/>
    <mergeCell ref="C9:D9"/>
    <mergeCell ref="E9:F9"/>
  </mergeCell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topLeftCell="B58" zoomScale="68" zoomScaleNormal="68" workbookViewId="0">
      <selection activeCell="I16" sqref="I16"/>
    </sheetView>
  </sheetViews>
  <sheetFormatPr baseColWidth="10" defaultColWidth="11.44140625" defaultRowHeight="13.8" x14ac:dyDescent="0.25"/>
  <cols>
    <col min="1" max="1" width="3" style="47" hidden="1" customWidth="1"/>
    <col min="2" max="2" width="9.44140625" style="47" customWidth="1"/>
    <col min="3" max="3" width="25.5546875" style="47" customWidth="1"/>
    <col min="4" max="4" width="46.5546875" style="47" customWidth="1"/>
    <col min="5" max="5" width="10.109375" style="70" customWidth="1"/>
    <col min="6" max="6" width="44.5546875" style="70" customWidth="1"/>
    <col min="7" max="7" width="15.44140625" style="47" customWidth="1"/>
    <col min="8" max="9" width="43" style="47" customWidth="1"/>
    <col min="10" max="12" width="11.44140625" style="75" customWidth="1"/>
    <col min="13" max="24" width="11.44140625" style="47" customWidth="1"/>
    <col min="25" max="16384" width="11.44140625" style="47"/>
  </cols>
  <sheetData>
    <row r="1" spans="1:32" x14ac:dyDescent="0.25">
      <c r="B1" s="46"/>
      <c r="C1" s="46"/>
      <c r="D1" s="46"/>
      <c r="E1" s="69"/>
      <c r="F1" s="69"/>
      <c r="G1" s="46"/>
      <c r="H1" s="46"/>
      <c r="I1" s="46"/>
      <c r="J1" s="71"/>
      <c r="K1" s="71"/>
      <c r="L1" s="72"/>
      <c r="M1" s="46"/>
      <c r="N1" s="46"/>
      <c r="O1" s="46"/>
      <c r="P1" s="46"/>
      <c r="Q1" s="46"/>
      <c r="R1" s="46"/>
      <c r="S1" s="46"/>
      <c r="T1" s="46"/>
      <c r="U1" s="46"/>
      <c r="V1" s="46"/>
      <c r="W1" s="46"/>
      <c r="X1" s="46"/>
    </row>
    <row r="2" spans="1:32" x14ac:dyDescent="0.25">
      <c r="B2" s="46"/>
      <c r="C2" s="46"/>
      <c r="D2" s="46"/>
      <c r="E2" s="69"/>
      <c r="F2" s="69"/>
      <c r="G2" s="46"/>
      <c r="H2" s="46"/>
      <c r="I2" s="46"/>
      <c r="J2" s="71"/>
      <c r="K2" s="71"/>
      <c r="L2" s="72"/>
      <c r="M2" s="46"/>
      <c r="N2" s="46"/>
      <c r="O2" s="46"/>
      <c r="P2" s="46"/>
      <c r="Q2" s="46"/>
      <c r="R2" s="46"/>
      <c r="S2" s="46"/>
      <c r="T2" s="46"/>
      <c r="U2" s="46"/>
      <c r="V2" s="46"/>
      <c r="W2" s="46"/>
      <c r="X2" s="46"/>
    </row>
    <row r="3" spans="1:32" x14ac:dyDescent="0.25">
      <c r="B3" s="46"/>
      <c r="C3" s="46"/>
      <c r="D3" s="46"/>
      <c r="E3" s="69"/>
      <c r="F3" s="69"/>
      <c r="G3" s="46"/>
      <c r="H3" s="46"/>
      <c r="I3" s="46"/>
      <c r="J3" s="71"/>
      <c r="K3" s="71"/>
      <c r="L3" s="72"/>
      <c r="M3" s="46"/>
      <c r="N3" s="46"/>
      <c r="O3" s="46"/>
      <c r="P3" s="46"/>
      <c r="Q3" s="46"/>
      <c r="R3" s="46"/>
      <c r="S3" s="46"/>
      <c r="T3" s="46"/>
      <c r="U3" s="46"/>
      <c r="V3" s="46"/>
      <c r="W3" s="46"/>
      <c r="X3" s="46"/>
    </row>
    <row r="4" spans="1:32" x14ac:dyDescent="0.25">
      <c r="B4" s="46"/>
      <c r="C4" s="46"/>
      <c r="D4" s="46"/>
      <c r="E4" s="69"/>
      <c r="F4" s="69"/>
      <c r="G4" s="46"/>
      <c r="H4" s="46"/>
      <c r="I4" s="46"/>
      <c r="J4" s="71"/>
      <c r="K4" s="71"/>
      <c r="L4" s="72"/>
      <c r="M4" s="46"/>
      <c r="N4" s="46"/>
      <c r="O4" s="46"/>
      <c r="P4" s="46"/>
      <c r="Q4" s="46"/>
      <c r="R4" s="46"/>
      <c r="S4" s="46"/>
      <c r="T4" s="46"/>
      <c r="U4" s="46"/>
      <c r="V4" s="46"/>
      <c r="W4" s="46"/>
      <c r="X4" s="46"/>
    </row>
    <row r="5" spans="1:32" x14ac:dyDescent="0.25">
      <c r="B5" s="46"/>
      <c r="C5" s="46"/>
      <c r="D5" s="46"/>
      <c r="E5" s="69"/>
      <c r="F5" s="69"/>
      <c r="G5" s="46"/>
      <c r="H5" s="46"/>
      <c r="I5" s="46"/>
      <c r="J5" s="71"/>
      <c r="K5" s="71"/>
      <c r="L5" s="72"/>
      <c r="M5" s="46"/>
      <c r="N5" s="46"/>
      <c r="O5" s="46"/>
      <c r="P5" s="46"/>
      <c r="Q5" s="46"/>
      <c r="R5" s="46"/>
      <c r="S5" s="46"/>
      <c r="T5" s="46"/>
      <c r="U5" s="46"/>
      <c r="V5" s="46"/>
      <c r="W5" s="46"/>
      <c r="X5" s="46"/>
    </row>
    <row r="6" spans="1:32" x14ac:dyDescent="0.25">
      <c r="B6" s="46"/>
      <c r="C6" s="46"/>
      <c r="D6" s="46"/>
      <c r="E6" s="69"/>
      <c r="F6" s="69"/>
      <c r="G6" s="46"/>
      <c r="H6" s="46"/>
      <c r="I6" s="46"/>
      <c r="J6" s="71"/>
      <c r="K6" s="71"/>
      <c r="L6" s="72"/>
      <c r="M6" s="46"/>
      <c r="N6" s="46"/>
      <c r="O6" s="46"/>
      <c r="P6" s="46"/>
      <c r="Q6" s="46"/>
      <c r="R6" s="46"/>
      <c r="S6" s="46"/>
      <c r="T6" s="46"/>
      <c r="U6" s="46"/>
      <c r="V6" s="46"/>
      <c r="W6" s="46"/>
      <c r="X6" s="46"/>
    </row>
    <row r="7" spans="1:32" x14ac:dyDescent="0.25">
      <c r="B7" s="46"/>
      <c r="C7" s="46"/>
      <c r="D7" s="46"/>
      <c r="E7" s="69"/>
      <c r="F7" s="69"/>
      <c r="G7" s="46"/>
      <c r="H7" s="46"/>
      <c r="I7" s="46"/>
      <c r="J7" s="71"/>
      <c r="K7" s="71"/>
      <c r="L7" s="72"/>
      <c r="M7" s="46"/>
      <c r="N7" s="46"/>
      <c r="O7" s="46"/>
      <c r="P7" s="46"/>
      <c r="Q7" s="46"/>
      <c r="R7" s="46"/>
      <c r="S7" s="46"/>
      <c r="T7" s="46"/>
      <c r="U7" s="46"/>
      <c r="V7" s="46"/>
      <c r="W7" s="46"/>
      <c r="X7" s="46"/>
    </row>
    <row r="8" spans="1:32" x14ac:dyDescent="0.25">
      <c r="B8" s="46"/>
      <c r="C8" s="46"/>
      <c r="D8" s="46"/>
      <c r="E8" s="69"/>
      <c r="F8" s="69"/>
      <c r="G8" s="46"/>
      <c r="H8" s="46"/>
      <c r="I8" s="46"/>
      <c r="J8" s="71"/>
      <c r="K8" s="71"/>
      <c r="L8" s="72"/>
      <c r="M8" s="46"/>
      <c r="N8" s="46"/>
      <c r="O8" s="46"/>
      <c r="P8" s="46"/>
      <c r="Q8" s="46"/>
      <c r="R8" s="46"/>
      <c r="S8" s="46"/>
      <c r="T8" s="46"/>
      <c r="U8" s="46"/>
      <c r="V8" s="46"/>
      <c r="W8" s="46"/>
      <c r="X8" s="46"/>
    </row>
    <row r="9" spans="1:32" x14ac:dyDescent="0.25">
      <c r="B9" s="46"/>
      <c r="C9" s="46"/>
      <c r="D9" s="46"/>
      <c r="E9" s="69"/>
      <c r="F9" s="69"/>
      <c r="G9" s="46"/>
      <c r="H9" s="46"/>
      <c r="I9" s="46"/>
      <c r="J9" s="71"/>
      <c r="K9" s="71"/>
      <c r="L9" s="72"/>
      <c r="M9" s="46"/>
      <c r="N9" s="46"/>
      <c r="O9" s="46"/>
      <c r="P9" s="46"/>
      <c r="Q9" s="46"/>
      <c r="R9" s="46"/>
      <c r="S9" s="46"/>
      <c r="T9" s="46"/>
      <c r="U9" s="46"/>
      <c r="V9" s="46"/>
      <c r="W9" s="46"/>
      <c r="X9" s="46"/>
    </row>
    <row r="10" spans="1:32" x14ac:dyDescent="0.25">
      <c r="B10" s="46"/>
      <c r="C10" s="46"/>
      <c r="D10" s="46"/>
      <c r="E10" s="69"/>
      <c r="F10" s="69"/>
      <c r="G10" s="46"/>
      <c r="H10" s="46"/>
      <c r="I10" s="46"/>
      <c r="J10" s="71"/>
      <c r="K10" s="71"/>
      <c r="L10" s="72"/>
      <c r="M10" s="46"/>
      <c r="N10" s="46"/>
      <c r="O10" s="46"/>
      <c r="P10" s="46"/>
      <c r="Q10" s="46"/>
      <c r="R10" s="46"/>
      <c r="S10" s="46"/>
      <c r="T10" s="46"/>
      <c r="U10" s="46"/>
      <c r="V10" s="46"/>
      <c r="W10" s="46"/>
      <c r="X10" s="46"/>
    </row>
    <row r="11" spans="1:32" x14ac:dyDescent="0.25">
      <c r="B11" s="46"/>
      <c r="C11" s="46"/>
      <c r="D11" s="46"/>
      <c r="E11" s="69"/>
      <c r="F11" s="69"/>
      <c r="G11" s="46"/>
      <c r="H11" s="46"/>
      <c r="I11" s="46"/>
      <c r="J11" s="71"/>
      <c r="K11" s="71"/>
      <c r="L11" s="72"/>
      <c r="M11" s="46"/>
      <c r="N11" s="46"/>
      <c r="O11" s="46"/>
      <c r="P11" s="46"/>
      <c r="Q11" s="46"/>
      <c r="R11" s="46"/>
      <c r="S11" s="46"/>
      <c r="T11" s="46"/>
      <c r="U11" s="46"/>
      <c r="V11" s="46"/>
      <c r="W11" s="46"/>
      <c r="X11" s="46"/>
    </row>
    <row r="12" spans="1:32" x14ac:dyDescent="0.25">
      <c r="B12" s="46"/>
      <c r="C12" s="46"/>
      <c r="D12" s="46"/>
      <c r="E12" s="69"/>
      <c r="F12" s="69"/>
      <c r="G12" s="46"/>
      <c r="H12" s="46"/>
      <c r="I12" s="46"/>
      <c r="J12" s="71"/>
      <c r="K12" s="71"/>
      <c r="L12" s="72"/>
      <c r="M12" s="46"/>
      <c r="N12" s="46"/>
      <c r="O12" s="46"/>
      <c r="P12" s="46"/>
      <c r="Q12" s="46"/>
      <c r="R12" s="46"/>
      <c r="S12" s="46"/>
      <c r="T12" s="46"/>
      <c r="U12" s="46"/>
      <c r="V12" s="46"/>
      <c r="W12" s="46"/>
      <c r="X12" s="46"/>
    </row>
    <row r="13" spans="1:32" x14ac:dyDescent="0.25">
      <c r="B13" s="46"/>
      <c r="C13" s="46"/>
      <c r="D13" s="46"/>
      <c r="E13" s="69"/>
      <c r="F13" s="69"/>
      <c r="G13" s="46"/>
      <c r="H13" s="46"/>
      <c r="I13" s="46"/>
      <c r="J13" s="71"/>
      <c r="K13" s="71"/>
      <c r="L13" s="72"/>
      <c r="M13" s="46"/>
      <c r="N13" s="46"/>
      <c r="O13" s="46"/>
      <c r="P13" s="46"/>
      <c r="Q13" s="46"/>
      <c r="R13" s="46"/>
      <c r="S13" s="46"/>
      <c r="T13" s="46"/>
      <c r="U13" s="46"/>
      <c r="V13" s="46"/>
      <c r="W13" s="46"/>
      <c r="X13" s="46"/>
    </row>
    <row r="14" spans="1:32" s="49" customFormat="1" ht="49.5" customHeight="1" x14ac:dyDescent="0.3">
      <c r="B14" s="244" t="s">
        <v>24</v>
      </c>
      <c r="C14" s="244"/>
      <c r="D14" s="244"/>
      <c r="E14" s="244"/>
      <c r="F14" s="244"/>
      <c r="G14" s="244"/>
      <c r="H14" s="244"/>
      <c r="I14" s="244"/>
      <c r="J14" s="73"/>
      <c r="K14" s="73"/>
      <c r="L14" s="74"/>
      <c r="M14" s="48"/>
      <c r="N14" s="48"/>
      <c r="O14" s="48"/>
      <c r="P14" s="48"/>
      <c r="Q14" s="48"/>
      <c r="R14" s="48"/>
      <c r="S14" s="48"/>
      <c r="T14" s="48"/>
      <c r="U14" s="48"/>
      <c r="V14" s="48"/>
      <c r="W14" s="48"/>
      <c r="X14" s="48"/>
      <c r="Y14" s="48"/>
      <c r="Z14" s="48"/>
      <c r="AA14" s="48"/>
      <c r="AB14" s="48"/>
      <c r="AC14" s="48"/>
      <c r="AD14" s="48"/>
      <c r="AE14" s="48"/>
      <c r="AF14" s="48"/>
    </row>
    <row r="15" spans="1:32" s="49" customFormat="1" ht="123.75" customHeight="1" thickBot="1" x14ac:dyDescent="0.35">
      <c r="B15" s="77" t="s">
        <v>25</v>
      </c>
      <c r="C15" s="77" t="s">
        <v>6</v>
      </c>
      <c r="D15" s="78" t="s">
        <v>8</v>
      </c>
      <c r="E15" s="79" t="s">
        <v>26</v>
      </c>
      <c r="F15" s="79" t="s">
        <v>27</v>
      </c>
      <c r="G15" s="79" t="s">
        <v>28</v>
      </c>
      <c r="H15" s="80" t="s">
        <v>29</v>
      </c>
      <c r="I15" s="79" t="s">
        <v>30</v>
      </c>
      <c r="J15" s="73"/>
      <c r="K15" s="73"/>
      <c r="L15" s="74"/>
      <c r="M15" s="48"/>
      <c r="N15" s="48"/>
      <c r="O15" s="48"/>
      <c r="P15" s="48"/>
      <c r="Q15" s="48"/>
      <c r="R15" s="48"/>
      <c r="S15" s="48"/>
      <c r="T15" s="48"/>
      <c r="U15" s="48"/>
      <c r="V15" s="48"/>
      <c r="W15" s="48"/>
      <c r="X15" s="48"/>
      <c r="Y15" s="48"/>
      <c r="Z15" s="48"/>
      <c r="AA15" s="48"/>
      <c r="AB15" s="48"/>
      <c r="AC15" s="48"/>
      <c r="AD15" s="48"/>
      <c r="AE15" s="48"/>
      <c r="AF15" s="48"/>
    </row>
    <row r="16" spans="1:32" s="49" customFormat="1" ht="71.25" customHeight="1" x14ac:dyDescent="0.3">
      <c r="A16" s="103" t="str">
        <f>1&amp;E16</f>
        <v>1a</v>
      </c>
      <c r="B16" s="255" t="s">
        <v>31</v>
      </c>
      <c r="C16" s="219" t="s">
        <v>32</v>
      </c>
      <c r="D16" s="252" t="s">
        <v>33</v>
      </c>
      <c r="E16" s="81" t="s">
        <v>34</v>
      </c>
      <c r="F16" s="82" t="s">
        <v>35</v>
      </c>
      <c r="G16" s="112" t="s">
        <v>39</v>
      </c>
      <c r="H16" s="113" t="s">
        <v>214</v>
      </c>
      <c r="I16" s="104" t="str">
        <f>+IF(G16="Si","Mantenimiento del control",IF(G16="En proceso","Oportunidad de mejora","Deficiencia de control"))</f>
        <v>Mantenimiento del control</v>
      </c>
      <c r="J16" s="105">
        <f t="shared" ref="J16:J27" si="0">+IF(G16="Si",20,IF(G16="En proceso",10,0))</f>
        <v>20</v>
      </c>
      <c r="K16" s="105">
        <v>0.123</v>
      </c>
      <c r="L16" s="105">
        <f>+J16+K16</f>
        <v>20.123000000000001</v>
      </c>
    </row>
    <row r="17" spans="1:32" s="49" customFormat="1" ht="62.4" x14ac:dyDescent="0.3">
      <c r="A17" s="103" t="str">
        <f t="shared" ref="A17:A27" si="1">1&amp;E17</f>
        <v>1b</v>
      </c>
      <c r="B17" s="256"/>
      <c r="C17" s="220"/>
      <c r="D17" s="253"/>
      <c r="E17" s="83" t="s">
        <v>37</v>
      </c>
      <c r="F17" s="84" t="s">
        <v>38</v>
      </c>
      <c r="G17" s="114" t="s">
        <v>39</v>
      </c>
      <c r="H17" s="115" t="s">
        <v>216</v>
      </c>
      <c r="I17" s="106" t="str">
        <f t="shared" ref="I17:I59" si="2">+IF(G17="Si","Mantenimiento del control",IF(G17="En proceso","Oportunidad de mejora","Deficiencia de control"))</f>
        <v>Mantenimiento del control</v>
      </c>
      <c r="J17" s="107">
        <f t="shared" si="0"/>
        <v>20</v>
      </c>
      <c r="K17" s="105">
        <v>0.1234</v>
      </c>
      <c r="L17" s="105">
        <f t="shared" ref="L17:L59" si="3">+J17+K17</f>
        <v>20.1234</v>
      </c>
    </row>
    <row r="18" spans="1:32" s="49" customFormat="1" ht="57" customHeight="1" x14ac:dyDescent="0.3">
      <c r="A18" s="103" t="str">
        <f t="shared" si="1"/>
        <v>1c</v>
      </c>
      <c r="B18" s="256"/>
      <c r="C18" s="220"/>
      <c r="D18" s="253"/>
      <c r="E18" s="83" t="s">
        <v>40</v>
      </c>
      <c r="F18" s="85" t="s">
        <v>41</v>
      </c>
      <c r="G18" s="116" t="s">
        <v>39</v>
      </c>
      <c r="H18" s="117" t="s">
        <v>215</v>
      </c>
      <c r="I18" s="108" t="str">
        <f t="shared" si="2"/>
        <v>Mantenimiento del control</v>
      </c>
      <c r="J18" s="107">
        <f t="shared" si="0"/>
        <v>20</v>
      </c>
      <c r="K18" s="105">
        <v>0.12345</v>
      </c>
      <c r="L18" s="105">
        <f t="shared" si="3"/>
        <v>20.123449999999998</v>
      </c>
    </row>
    <row r="19" spans="1:32" s="49" customFormat="1" ht="49.5" customHeight="1" x14ac:dyDescent="0.3">
      <c r="A19" s="103" t="str">
        <f t="shared" si="1"/>
        <v>1d</v>
      </c>
      <c r="B19" s="256"/>
      <c r="C19" s="220"/>
      <c r="D19" s="253"/>
      <c r="E19" s="83" t="s">
        <v>42</v>
      </c>
      <c r="F19" s="85" t="s">
        <v>43</v>
      </c>
      <c r="G19" s="116" t="s">
        <v>39</v>
      </c>
      <c r="H19" s="117" t="s">
        <v>217</v>
      </c>
      <c r="I19" s="108" t="str">
        <f t="shared" si="2"/>
        <v>Mantenimiento del control</v>
      </c>
      <c r="J19" s="107">
        <f t="shared" si="0"/>
        <v>20</v>
      </c>
      <c r="K19" s="105">
        <v>0.123456</v>
      </c>
      <c r="L19" s="105">
        <f t="shared" si="3"/>
        <v>20.123456000000001</v>
      </c>
    </row>
    <row r="20" spans="1:32" s="49" customFormat="1" ht="37.5" customHeight="1" x14ac:dyDescent="0.3">
      <c r="A20" s="103" t="str">
        <f t="shared" si="1"/>
        <v>1e</v>
      </c>
      <c r="B20" s="256"/>
      <c r="C20" s="220"/>
      <c r="D20" s="253"/>
      <c r="E20" s="83" t="s">
        <v>44</v>
      </c>
      <c r="F20" s="85" t="s">
        <v>45</v>
      </c>
      <c r="G20" s="116" t="s">
        <v>39</v>
      </c>
      <c r="H20" s="117" t="s">
        <v>191</v>
      </c>
      <c r="I20" s="108" t="str">
        <f t="shared" si="2"/>
        <v>Mantenimiento del control</v>
      </c>
      <c r="J20" s="107">
        <f t="shared" si="0"/>
        <v>20</v>
      </c>
      <c r="K20" s="105">
        <v>0.12345678</v>
      </c>
      <c r="L20" s="105">
        <f t="shared" si="3"/>
        <v>20.123456780000001</v>
      </c>
    </row>
    <row r="21" spans="1:32" s="49" customFormat="1" ht="63.75" customHeight="1" x14ac:dyDescent="0.3">
      <c r="A21" s="103" t="str">
        <f t="shared" si="1"/>
        <v>1f</v>
      </c>
      <c r="B21" s="256"/>
      <c r="C21" s="220"/>
      <c r="D21" s="253"/>
      <c r="E21" s="83" t="s">
        <v>46</v>
      </c>
      <c r="F21" s="85" t="s">
        <v>47</v>
      </c>
      <c r="G21" s="116" t="s">
        <v>39</v>
      </c>
      <c r="H21" s="117" t="s">
        <v>218</v>
      </c>
      <c r="I21" s="108" t="str">
        <f t="shared" si="2"/>
        <v>Mantenimiento del control</v>
      </c>
      <c r="J21" s="107">
        <f t="shared" si="0"/>
        <v>20</v>
      </c>
      <c r="K21" s="105">
        <v>0.123456789</v>
      </c>
      <c r="L21" s="105">
        <f t="shared" si="3"/>
        <v>20.123456788999999</v>
      </c>
    </row>
    <row r="22" spans="1:32" s="49" customFormat="1" ht="65.25" customHeight="1" x14ac:dyDescent="0.3">
      <c r="A22" s="103" t="str">
        <f t="shared" si="1"/>
        <v>1g</v>
      </c>
      <c r="B22" s="256"/>
      <c r="C22" s="220"/>
      <c r="D22" s="253"/>
      <c r="E22" s="83" t="s">
        <v>48</v>
      </c>
      <c r="F22" s="85" t="s">
        <v>49</v>
      </c>
      <c r="G22" s="116" t="s">
        <v>39</v>
      </c>
      <c r="H22" s="117" t="s">
        <v>219</v>
      </c>
      <c r="I22" s="108" t="str">
        <f t="shared" si="2"/>
        <v>Mantenimiento del control</v>
      </c>
      <c r="J22" s="107">
        <f t="shared" si="0"/>
        <v>20</v>
      </c>
      <c r="K22" s="105">
        <v>0.12345678910000001</v>
      </c>
      <c r="L22" s="105">
        <f t="shared" si="3"/>
        <v>20.1234567891</v>
      </c>
    </row>
    <row r="23" spans="1:32" s="49" customFormat="1" ht="62.25" customHeight="1" x14ac:dyDescent="0.3">
      <c r="A23" s="103" t="str">
        <f t="shared" si="1"/>
        <v>1h</v>
      </c>
      <c r="B23" s="256"/>
      <c r="C23" s="220"/>
      <c r="D23" s="253"/>
      <c r="E23" s="83" t="s">
        <v>50</v>
      </c>
      <c r="F23" s="85" t="s">
        <v>51</v>
      </c>
      <c r="G23" s="116" t="s">
        <v>39</v>
      </c>
      <c r="H23" s="117" t="s">
        <v>220</v>
      </c>
      <c r="I23" s="108" t="str">
        <f t="shared" si="2"/>
        <v>Mantenimiento del control</v>
      </c>
      <c r="J23" s="107">
        <f t="shared" si="0"/>
        <v>20</v>
      </c>
      <c r="K23" s="105">
        <v>0.12345678911999999</v>
      </c>
      <c r="L23" s="105">
        <f t="shared" si="3"/>
        <v>20.123456789119999</v>
      </c>
    </row>
    <row r="24" spans="1:32" s="49" customFormat="1" ht="57.75" customHeight="1" x14ac:dyDescent="0.3">
      <c r="A24" s="103" t="str">
        <f t="shared" si="1"/>
        <v>1i</v>
      </c>
      <c r="B24" s="256"/>
      <c r="C24" s="220"/>
      <c r="D24" s="253"/>
      <c r="E24" s="83" t="s">
        <v>52</v>
      </c>
      <c r="F24" s="85" t="s">
        <v>53</v>
      </c>
      <c r="G24" s="116" t="s">
        <v>36</v>
      </c>
      <c r="H24" s="117" t="s">
        <v>192</v>
      </c>
      <c r="I24" s="108" t="str">
        <f t="shared" si="2"/>
        <v>Deficiencia de control</v>
      </c>
      <c r="J24" s="107">
        <f t="shared" si="0"/>
        <v>0</v>
      </c>
      <c r="K24" s="105">
        <v>0.123456789123</v>
      </c>
      <c r="L24" s="105">
        <f t="shared" si="3"/>
        <v>0.123456789123</v>
      </c>
    </row>
    <row r="25" spans="1:32" s="49" customFormat="1" ht="52.5" customHeight="1" x14ac:dyDescent="0.3">
      <c r="A25" s="103" t="str">
        <f t="shared" si="1"/>
        <v>1j</v>
      </c>
      <c r="B25" s="256"/>
      <c r="C25" s="220"/>
      <c r="D25" s="253"/>
      <c r="E25" s="83" t="s">
        <v>54</v>
      </c>
      <c r="F25" s="85" t="s">
        <v>55</v>
      </c>
      <c r="G25" s="116" t="s">
        <v>39</v>
      </c>
      <c r="H25" s="117" t="s">
        <v>193</v>
      </c>
      <c r="I25" s="108" t="str">
        <f t="shared" si="2"/>
        <v>Mantenimiento del control</v>
      </c>
      <c r="J25" s="107">
        <f t="shared" si="0"/>
        <v>20</v>
      </c>
      <c r="K25" s="105">
        <v>0.1234567891234</v>
      </c>
      <c r="L25" s="105">
        <f t="shared" si="3"/>
        <v>20.123456789123399</v>
      </c>
    </row>
    <row r="26" spans="1:32" s="49" customFormat="1" ht="42" customHeight="1" x14ac:dyDescent="0.3">
      <c r="A26" s="103" t="str">
        <f t="shared" si="1"/>
        <v>1k</v>
      </c>
      <c r="B26" s="256"/>
      <c r="C26" s="220"/>
      <c r="D26" s="253"/>
      <c r="E26" s="83" t="s">
        <v>56</v>
      </c>
      <c r="F26" s="85" t="s">
        <v>57</v>
      </c>
      <c r="G26" s="116" t="s">
        <v>39</v>
      </c>
      <c r="H26" s="117" t="s">
        <v>221</v>
      </c>
      <c r="I26" s="108" t="str">
        <f t="shared" si="2"/>
        <v>Mantenimiento del control</v>
      </c>
      <c r="J26" s="107">
        <f t="shared" si="0"/>
        <v>20</v>
      </c>
      <c r="K26" s="105">
        <v>0.12345678912345</v>
      </c>
      <c r="L26" s="105">
        <f t="shared" si="3"/>
        <v>20.123456789123448</v>
      </c>
    </row>
    <row r="27" spans="1:32" s="49" customFormat="1" ht="31.8" thickBot="1" x14ac:dyDescent="0.35">
      <c r="A27" s="103" t="str">
        <f t="shared" si="1"/>
        <v>1l</v>
      </c>
      <c r="B27" s="257"/>
      <c r="C27" s="221"/>
      <c r="D27" s="254"/>
      <c r="E27" s="86" t="s">
        <v>58</v>
      </c>
      <c r="F27" s="87" t="s">
        <v>59</v>
      </c>
      <c r="G27" s="118" t="s">
        <v>39</v>
      </c>
      <c r="H27" s="119" t="s">
        <v>194</v>
      </c>
      <c r="I27" s="109" t="str">
        <f t="shared" si="2"/>
        <v>Mantenimiento del control</v>
      </c>
      <c r="J27" s="107">
        <f t="shared" si="0"/>
        <v>20</v>
      </c>
      <c r="K27" s="105">
        <v>0.12345678912345601</v>
      </c>
      <c r="L27" s="105">
        <f t="shared" si="3"/>
        <v>20.123456789123455</v>
      </c>
    </row>
    <row r="28" spans="1:32" s="49" customFormat="1" ht="44.25" customHeight="1" x14ac:dyDescent="0.3">
      <c r="A28" s="103" t="str">
        <f>2&amp;E28</f>
        <v>2a</v>
      </c>
      <c r="B28" s="258" t="s">
        <v>60</v>
      </c>
      <c r="C28" s="222" t="s">
        <v>61</v>
      </c>
      <c r="D28" s="261" t="s">
        <v>62</v>
      </c>
      <c r="E28" s="81" t="s">
        <v>34</v>
      </c>
      <c r="F28" s="82" t="s">
        <v>63</v>
      </c>
      <c r="G28" s="112" t="s">
        <v>39</v>
      </c>
      <c r="H28" s="113" t="s">
        <v>195</v>
      </c>
      <c r="I28" s="104" t="str">
        <f t="shared" si="2"/>
        <v>Mantenimiento del control</v>
      </c>
      <c r="J28" s="105">
        <f>+IF(G28="Si",40,IF(G28="En proceso",30,20))</f>
        <v>40</v>
      </c>
      <c r="K28" s="105">
        <v>0.23</v>
      </c>
      <c r="L28" s="105">
        <f t="shared" si="3"/>
        <v>40.229999999999997</v>
      </c>
    </row>
    <row r="29" spans="1:32" s="49" customFormat="1" ht="46.8" x14ac:dyDescent="0.3">
      <c r="A29" s="103" t="str">
        <f t="shared" ref="A29:A31" si="4">2&amp;E29</f>
        <v>2b</v>
      </c>
      <c r="B29" s="259"/>
      <c r="C29" s="223"/>
      <c r="D29" s="237"/>
      <c r="E29" s="83" t="s">
        <v>37</v>
      </c>
      <c r="F29" s="85" t="s">
        <v>64</v>
      </c>
      <c r="G29" s="116" t="s">
        <v>39</v>
      </c>
      <c r="H29" s="117" t="s">
        <v>196</v>
      </c>
      <c r="I29" s="108" t="str">
        <f t="shared" si="2"/>
        <v>Mantenimiento del control</v>
      </c>
      <c r="J29" s="105">
        <f>+IF(G29="Si",40,IF(G29="En proceso",30,20))</f>
        <v>40</v>
      </c>
      <c r="K29" s="105">
        <v>0.23400000000000001</v>
      </c>
      <c r="L29" s="105">
        <f t="shared" si="3"/>
        <v>40.234000000000002</v>
      </c>
    </row>
    <row r="30" spans="1:32" s="49" customFormat="1" ht="46.8" x14ac:dyDescent="0.3">
      <c r="A30" s="103" t="str">
        <f t="shared" si="4"/>
        <v>2c</v>
      </c>
      <c r="B30" s="259"/>
      <c r="C30" s="223"/>
      <c r="D30" s="237"/>
      <c r="E30" s="83" t="s">
        <v>40</v>
      </c>
      <c r="F30" s="85" t="s">
        <v>65</v>
      </c>
      <c r="G30" s="116" t="s">
        <v>39</v>
      </c>
      <c r="H30" s="117" t="s">
        <v>197</v>
      </c>
      <c r="I30" s="108" t="str">
        <f t="shared" si="2"/>
        <v>Mantenimiento del control</v>
      </c>
      <c r="J30" s="105">
        <f>+IF(G30="Si",40,IF(G30="En proceso",30,20))</f>
        <v>40</v>
      </c>
      <c r="K30" s="105">
        <v>0.23449999999999999</v>
      </c>
      <c r="L30" s="105">
        <f t="shared" si="3"/>
        <v>40.234499999999997</v>
      </c>
    </row>
    <row r="31" spans="1:32" s="49" customFormat="1" ht="47.4" thickBot="1" x14ac:dyDescent="0.35">
      <c r="A31" s="103" t="str">
        <f t="shared" si="4"/>
        <v>2d</v>
      </c>
      <c r="B31" s="260"/>
      <c r="C31" s="224"/>
      <c r="D31" s="262"/>
      <c r="E31" s="86" t="s">
        <v>42</v>
      </c>
      <c r="F31" s="87" t="s">
        <v>66</v>
      </c>
      <c r="G31" s="118" t="s">
        <v>39</v>
      </c>
      <c r="H31" s="119" t="s">
        <v>198</v>
      </c>
      <c r="I31" s="109" t="str">
        <f t="shared" si="2"/>
        <v>Mantenimiento del control</v>
      </c>
      <c r="J31" s="105">
        <f>+IF(G31="Si",40,IF(G31="En proceso",30,20))</f>
        <v>40</v>
      </c>
      <c r="K31" s="105">
        <v>0.23455999999999999</v>
      </c>
      <c r="L31" s="105">
        <f t="shared" si="3"/>
        <v>40.234560000000002</v>
      </c>
    </row>
    <row r="32" spans="1:32" s="49" customFormat="1" ht="49.5" customHeight="1" x14ac:dyDescent="0.3">
      <c r="A32" s="103" t="str">
        <f>3&amp;E32</f>
        <v>3a</v>
      </c>
      <c r="B32" s="234" t="s">
        <v>67</v>
      </c>
      <c r="C32" s="234" t="s">
        <v>61</v>
      </c>
      <c r="D32" s="235" t="s">
        <v>68</v>
      </c>
      <c r="E32" s="88" t="s">
        <v>34</v>
      </c>
      <c r="F32" s="85" t="s">
        <v>69</v>
      </c>
      <c r="G32" s="116" t="s">
        <v>39</v>
      </c>
      <c r="H32" s="117" t="s">
        <v>199</v>
      </c>
      <c r="I32" s="108" t="str">
        <f t="shared" si="2"/>
        <v>Mantenimiento del control</v>
      </c>
      <c r="J32" s="105">
        <f t="shared" ref="J32:J37" si="5">+IF(G32="Si",40,IF(G32="En proceso",30,20))</f>
        <v>40</v>
      </c>
      <c r="K32" s="110">
        <v>0.234567</v>
      </c>
      <c r="L32" s="105">
        <f t="shared" ref="L32:L37" si="6">+J32+K32</f>
        <v>40.234566999999998</v>
      </c>
      <c r="M32" s="48"/>
      <c r="N32" s="48"/>
      <c r="O32" s="48"/>
      <c r="P32" s="48"/>
      <c r="Q32" s="48"/>
      <c r="R32" s="48"/>
      <c r="S32" s="48"/>
      <c r="T32" s="48"/>
      <c r="U32" s="48"/>
      <c r="V32" s="48"/>
      <c r="W32" s="48"/>
      <c r="X32" s="48"/>
      <c r="Y32" s="48"/>
      <c r="Z32" s="48"/>
      <c r="AA32" s="48"/>
      <c r="AB32" s="48"/>
      <c r="AC32" s="48"/>
      <c r="AD32" s="48"/>
      <c r="AE32" s="48"/>
      <c r="AF32" s="48"/>
    </row>
    <row r="33" spans="1:32" s="49" customFormat="1" ht="49.5" customHeight="1" x14ac:dyDescent="0.3">
      <c r="A33" s="103" t="str">
        <f t="shared" ref="A33:A34" si="7">3&amp;E33</f>
        <v>3b</v>
      </c>
      <c r="B33" s="234"/>
      <c r="C33" s="234"/>
      <c r="D33" s="235"/>
      <c r="E33" s="88" t="s">
        <v>37</v>
      </c>
      <c r="F33" s="85" t="s">
        <v>70</v>
      </c>
      <c r="G33" s="116" t="s">
        <v>39</v>
      </c>
      <c r="H33" s="117" t="s">
        <v>238</v>
      </c>
      <c r="I33" s="108" t="str">
        <f t="shared" si="2"/>
        <v>Mantenimiento del control</v>
      </c>
      <c r="J33" s="105">
        <f t="shared" si="5"/>
        <v>40</v>
      </c>
      <c r="K33" s="110">
        <v>0.23456779999999999</v>
      </c>
      <c r="L33" s="105">
        <f t="shared" si="6"/>
        <v>40.234567800000001</v>
      </c>
      <c r="M33" s="48"/>
      <c r="N33" s="48"/>
      <c r="O33" s="48"/>
      <c r="P33" s="48"/>
      <c r="Q33" s="48"/>
      <c r="R33" s="48"/>
      <c r="S33" s="48"/>
      <c r="T33" s="48"/>
      <c r="U33" s="48"/>
      <c r="V33" s="48"/>
      <c r="W33" s="48"/>
      <c r="X33" s="48"/>
      <c r="Y33" s="48"/>
      <c r="Z33" s="48"/>
      <c r="AA33" s="48"/>
      <c r="AB33" s="48"/>
      <c r="AC33" s="48"/>
      <c r="AD33" s="48"/>
      <c r="AE33" s="48"/>
      <c r="AF33" s="48"/>
    </row>
    <row r="34" spans="1:32" s="49" customFormat="1" ht="66" customHeight="1" thickBot="1" x14ac:dyDescent="0.35">
      <c r="A34" s="103" t="str">
        <f t="shared" si="7"/>
        <v>3c</v>
      </c>
      <c r="B34" s="234"/>
      <c r="C34" s="234"/>
      <c r="D34" s="235"/>
      <c r="E34" s="88" t="s">
        <v>40</v>
      </c>
      <c r="F34" s="85" t="s">
        <v>71</v>
      </c>
      <c r="G34" s="116" t="s">
        <v>39</v>
      </c>
      <c r="H34" s="117" t="s">
        <v>239</v>
      </c>
      <c r="I34" s="108" t="str">
        <f t="shared" si="2"/>
        <v>Mantenimiento del control</v>
      </c>
      <c r="J34" s="105">
        <f t="shared" si="5"/>
        <v>40</v>
      </c>
      <c r="K34" s="110">
        <v>0.23456789</v>
      </c>
      <c r="L34" s="105">
        <f t="shared" si="6"/>
        <v>40.234567890000001</v>
      </c>
      <c r="M34" s="48"/>
      <c r="N34" s="48"/>
      <c r="O34" s="48"/>
      <c r="P34" s="48"/>
      <c r="Q34" s="48"/>
      <c r="R34" s="48"/>
      <c r="S34" s="48"/>
      <c r="T34" s="48"/>
      <c r="U34" s="48"/>
      <c r="V34" s="48"/>
      <c r="W34" s="48"/>
      <c r="X34" s="48"/>
      <c r="Y34" s="48"/>
      <c r="Z34" s="48"/>
      <c r="AA34" s="48"/>
      <c r="AB34" s="48"/>
      <c r="AC34" s="48"/>
      <c r="AD34" s="48"/>
      <c r="AE34" s="48"/>
      <c r="AF34" s="48"/>
    </row>
    <row r="35" spans="1:32" s="49" customFormat="1" ht="60.75" customHeight="1" x14ac:dyDescent="0.3">
      <c r="A35" s="103" t="str">
        <f>4&amp;E35</f>
        <v>4a</v>
      </c>
      <c r="B35" s="236" t="s">
        <v>72</v>
      </c>
      <c r="C35" s="223" t="s">
        <v>61</v>
      </c>
      <c r="D35" s="237" t="s">
        <v>73</v>
      </c>
      <c r="E35" s="81" t="s">
        <v>34</v>
      </c>
      <c r="F35" s="82" t="s">
        <v>74</v>
      </c>
      <c r="G35" s="112" t="s">
        <v>39</v>
      </c>
      <c r="H35" s="113" t="s">
        <v>222</v>
      </c>
      <c r="I35" s="104" t="str">
        <f t="shared" si="2"/>
        <v>Mantenimiento del control</v>
      </c>
      <c r="J35" s="105">
        <f t="shared" si="5"/>
        <v>40</v>
      </c>
      <c r="K35" s="110">
        <v>0.23456789119999999</v>
      </c>
      <c r="L35" s="105">
        <f t="shared" si="6"/>
        <v>40.234567891200001</v>
      </c>
      <c r="M35" s="48"/>
      <c r="N35" s="48"/>
      <c r="O35" s="48"/>
      <c r="P35" s="48"/>
      <c r="Q35" s="48"/>
    </row>
    <row r="36" spans="1:32" s="49" customFormat="1" ht="57.75" customHeight="1" x14ac:dyDescent="0.3">
      <c r="A36" s="103" t="str">
        <f t="shared" ref="A36:A37" si="8">4&amp;E36</f>
        <v>4b</v>
      </c>
      <c r="B36" s="236"/>
      <c r="C36" s="223"/>
      <c r="D36" s="237"/>
      <c r="E36" s="83" t="s">
        <v>37</v>
      </c>
      <c r="F36" s="85" t="s">
        <v>75</v>
      </c>
      <c r="G36" s="116" t="s">
        <v>39</v>
      </c>
      <c r="H36" s="117" t="s">
        <v>224</v>
      </c>
      <c r="I36" s="108" t="str">
        <f t="shared" si="2"/>
        <v>Mantenimiento del control</v>
      </c>
      <c r="J36" s="105">
        <f t="shared" si="5"/>
        <v>40</v>
      </c>
      <c r="K36" s="110">
        <v>0.23456789122999999</v>
      </c>
      <c r="L36" s="105">
        <f t="shared" si="6"/>
        <v>40.23456789123</v>
      </c>
      <c r="M36" s="48"/>
      <c r="N36" s="48"/>
      <c r="O36" s="48"/>
      <c r="P36" s="48"/>
      <c r="Q36" s="48"/>
    </row>
    <row r="37" spans="1:32" s="49" customFormat="1" ht="49.5" customHeight="1" thickBot="1" x14ac:dyDescent="0.35">
      <c r="A37" s="103" t="str">
        <f t="shared" si="8"/>
        <v>4c</v>
      </c>
      <c r="B37" s="236"/>
      <c r="C37" s="223"/>
      <c r="D37" s="237"/>
      <c r="E37" s="83" t="s">
        <v>40</v>
      </c>
      <c r="F37" s="85" t="s">
        <v>77</v>
      </c>
      <c r="G37" s="116" t="s">
        <v>39</v>
      </c>
      <c r="H37" s="117" t="s">
        <v>240</v>
      </c>
      <c r="I37" s="108" t="str">
        <f t="shared" si="2"/>
        <v>Mantenimiento del control</v>
      </c>
      <c r="J37" s="105">
        <f t="shared" si="5"/>
        <v>40</v>
      </c>
      <c r="K37" s="110">
        <v>0.23456789123399999</v>
      </c>
      <c r="L37" s="105">
        <f t="shared" si="6"/>
        <v>40.234567891234001</v>
      </c>
      <c r="M37" s="48"/>
      <c r="N37" s="48"/>
      <c r="O37" s="48"/>
      <c r="P37" s="48"/>
      <c r="Q37" s="48"/>
    </row>
    <row r="38" spans="1:32" s="49" customFormat="1" ht="85.5" customHeight="1" x14ac:dyDescent="0.3">
      <c r="A38" s="103" t="str">
        <f>5&amp;E38</f>
        <v>5a</v>
      </c>
      <c r="B38" s="238" t="s">
        <v>78</v>
      </c>
      <c r="C38" s="225" t="s">
        <v>79</v>
      </c>
      <c r="D38" s="241" t="s">
        <v>80</v>
      </c>
      <c r="E38" s="81" t="s">
        <v>34</v>
      </c>
      <c r="F38" s="89" t="s">
        <v>81</v>
      </c>
      <c r="G38" s="120" t="s">
        <v>39</v>
      </c>
      <c r="H38" s="121" t="s">
        <v>223</v>
      </c>
      <c r="I38" s="111" t="str">
        <f t="shared" si="2"/>
        <v>Mantenimiento del control</v>
      </c>
      <c r="J38" s="105">
        <f>+IF(G38="Si",60,IF(G38="En proceso",50,40))</f>
        <v>60</v>
      </c>
      <c r="K38" s="105">
        <v>0.31</v>
      </c>
      <c r="L38" s="105">
        <f t="shared" si="3"/>
        <v>60.31</v>
      </c>
    </row>
    <row r="39" spans="1:32" s="49" customFormat="1" ht="62.4" x14ac:dyDescent="0.3">
      <c r="A39" s="103" t="str">
        <f t="shared" ref="A39:A42" si="9">5&amp;E39</f>
        <v>5b</v>
      </c>
      <c r="B39" s="239"/>
      <c r="C39" s="226"/>
      <c r="D39" s="242"/>
      <c r="E39" s="83" t="s">
        <v>37</v>
      </c>
      <c r="F39" s="85" t="s">
        <v>82</v>
      </c>
      <c r="G39" s="116" t="s">
        <v>39</v>
      </c>
      <c r="H39" s="117" t="s">
        <v>225</v>
      </c>
      <c r="I39" s="108" t="str">
        <f t="shared" si="2"/>
        <v>Mantenimiento del control</v>
      </c>
      <c r="J39" s="105">
        <f>+IF(G39="Si",60,IF(G39="En proceso",50,40))</f>
        <v>60</v>
      </c>
      <c r="K39" s="105">
        <v>0.32300000000000001</v>
      </c>
      <c r="L39" s="105">
        <f t="shared" si="3"/>
        <v>60.323</v>
      </c>
    </row>
    <row r="40" spans="1:32" s="49" customFormat="1" ht="46.8" x14ac:dyDescent="0.3">
      <c r="A40" s="103" t="str">
        <f t="shared" si="9"/>
        <v>5c</v>
      </c>
      <c r="B40" s="239"/>
      <c r="C40" s="226"/>
      <c r="D40" s="242"/>
      <c r="E40" s="83" t="s">
        <v>40</v>
      </c>
      <c r="F40" s="85" t="s">
        <v>83</v>
      </c>
      <c r="G40" s="116" t="s">
        <v>39</v>
      </c>
      <c r="H40" s="117" t="s">
        <v>226</v>
      </c>
      <c r="I40" s="108" t="str">
        <f t="shared" si="2"/>
        <v>Mantenimiento del control</v>
      </c>
      <c r="J40" s="105">
        <f>+IF(G40="Si",60,IF(G40="En proceso",50,40))</f>
        <v>60</v>
      </c>
      <c r="K40" s="105">
        <v>0.32400000000000001</v>
      </c>
      <c r="L40" s="105">
        <f t="shared" si="3"/>
        <v>60.323999999999998</v>
      </c>
    </row>
    <row r="41" spans="1:32" s="49" customFormat="1" ht="93.6" x14ac:dyDescent="0.3">
      <c r="A41" s="103" t="str">
        <f t="shared" si="9"/>
        <v>5d</v>
      </c>
      <c r="B41" s="239"/>
      <c r="C41" s="226"/>
      <c r="D41" s="242"/>
      <c r="E41" s="83" t="s">
        <v>42</v>
      </c>
      <c r="F41" s="85" t="s">
        <v>84</v>
      </c>
      <c r="G41" s="116" t="s">
        <v>39</v>
      </c>
      <c r="H41" s="117" t="s">
        <v>227</v>
      </c>
      <c r="I41" s="108" t="str">
        <f t="shared" si="2"/>
        <v>Mantenimiento del control</v>
      </c>
      <c r="J41" s="105">
        <f>+IF(G41="Si",60,IF(G41="En proceso",50,40))</f>
        <v>60</v>
      </c>
      <c r="K41" s="105">
        <v>0.32500000000000001</v>
      </c>
      <c r="L41" s="105">
        <f t="shared" si="3"/>
        <v>60.325000000000003</v>
      </c>
    </row>
    <row r="42" spans="1:32" s="49" customFormat="1" ht="47.4" thickBot="1" x14ac:dyDescent="0.35">
      <c r="A42" s="103" t="str">
        <f t="shared" si="9"/>
        <v>5e</v>
      </c>
      <c r="B42" s="240"/>
      <c r="C42" s="227"/>
      <c r="D42" s="243"/>
      <c r="E42" s="86" t="s">
        <v>44</v>
      </c>
      <c r="F42" s="87" t="s">
        <v>85</v>
      </c>
      <c r="G42" s="118" t="s">
        <v>39</v>
      </c>
      <c r="H42" s="119" t="s">
        <v>200</v>
      </c>
      <c r="I42" s="109" t="str">
        <f t="shared" si="2"/>
        <v>Mantenimiento del control</v>
      </c>
      <c r="J42" s="105">
        <f>+IF(G42="Si",60,IF(G42="En proceso",50,40))</f>
        <v>60</v>
      </c>
      <c r="K42" s="105">
        <v>0.32600000000000001</v>
      </c>
      <c r="L42" s="105">
        <f t="shared" si="3"/>
        <v>60.326000000000001</v>
      </c>
    </row>
    <row r="43" spans="1:32" s="49" customFormat="1" ht="45.75" customHeight="1" x14ac:dyDescent="0.3">
      <c r="A43" s="103" t="str">
        <f>6&amp;E43</f>
        <v>6a</v>
      </c>
      <c r="B43" s="248" t="s">
        <v>86</v>
      </c>
      <c r="C43" s="228" t="s">
        <v>87</v>
      </c>
      <c r="D43" s="245" t="s">
        <v>88</v>
      </c>
      <c r="E43" s="81" t="s">
        <v>34</v>
      </c>
      <c r="F43" s="82" t="s">
        <v>89</v>
      </c>
      <c r="G43" s="112" t="s">
        <v>39</v>
      </c>
      <c r="H43" s="113" t="s">
        <v>228</v>
      </c>
      <c r="I43" s="104" t="str">
        <f t="shared" si="2"/>
        <v>Mantenimiento del control</v>
      </c>
      <c r="J43" s="105">
        <f t="shared" ref="J43:J49" si="10">+IF(G43="Si",80,IF(G43="En proceso",70,60))</f>
        <v>80</v>
      </c>
      <c r="K43" s="105">
        <v>0.41199999999999998</v>
      </c>
      <c r="L43" s="105">
        <f t="shared" si="3"/>
        <v>80.412000000000006</v>
      </c>
    </row>
    <row r="44" spans="1:32" s="49" customFormat="1" ht="54.75" customHeight="1" x14ac:dyDescent="0.3">
      <c r="A44" s="103" t="str">
        <f t="shared" ref="A44:A49" si="11">6&amp;E44</f>
        <v>6b</v>
      </c>
      <c r="B44" s="249"/>
      <c r="C44" s="229"/>
      <c r="D44" s="246"/>
      <c r="E44" s="83" t="s">
        <v>37</v>
      </c>
      <c r="F44" s="85" t="s">
        <v>90</v>
      </c>
      <c r="G44" s="116" t="s">
        <v>76</v>
      </c>
      <c r="H44" s="117" t="s">
        <v>229</v>
      </c>
      <c r="I44" s="108" t="str">
        <f t="shared" si="2"/>
        <v>Oportunidad de mejora</v>
      </c>
      <c r="J44" s="105">
        <f t="shared" si="10"/>
        <v>70</v>
      </c>
      <c r="K44" s="105">
        <v>0.4123</v>
      </c>
      <c r="L44" s="105">
        <f t="shared" si="3"/>
        <v>70.412300000000002</v>
      </c>
    </row>
    <row r="45" spans="1:32" s="49" customFormat="1" ht="46.8" x14ac:dyDescent="0.3">
      <c r="A45" s="103" t="str">
        <f t="shared" si="11"/>
        <v>6c</v>
      </c>
      <c r="B45" s="249"/>
      <c r="C45" s="229"/>
      <c r="D45" s="246"/>
      <c r="E45" s="83" t="s">
        <v>40</v>
      </c>
      <c r="F45" s="85" t="s">
        <v>91</v>
      </c>
      <c r="G45" s="116" t="s">
        <v>39</v>
      </c>
      <c r="H45" s="117" t="s">
        <v>230</v>
      </c>
      <c r="I45" s="108" t="str">
        <f t="shared" si="2"/>
        <v>Mantenimiento del control</v>
      </c>
      <c r="J45" s="105">
        <f t="shared" si="10"/>
        <v>80</v>
      </c>
      <c r="K45" s="105">
        <v>0.41233999999999998</v>
      </c>
      <c r="L45" s="105">
        <f t="shared" si="3"/>
        <v>80.41234</v>
      </c>
    </row>
    <row r="46" spans="1:32" s="49" customFormat="1" ht="31.2" x14ac:dyDescent="0.3">
      <c r="A46" s="103" t="str">
        <f t="shared" si="11"/>
        <v>6d</v>
      </c>
      <c r="B46" s="249"/>
      <c r="C46" s="229"/>
      <c r="D46" s="246"/>
      <c r="E46" s="83" t="s">
        <v>42</v>
      </c>
      <c r="F46" s="85" t="s">
        <v>92</v>
      </c>
      <c r="G46" s="116" t="s">
        <v>76</v>
      </c>
      <c r="H46" s="117" t="s">
        <v>231</v>
      </c>
      <c r="I46" s="108" t="str">
        <f t="shared" si="2"/>
        <v>Oportunidad de mejora</v>
      </c>
      <c r="J46" s="105">
        <f t="shared" si="10"/>
        <v>70</v>
      </c>
      <c r="K46" s="105">
        <v>0.41234500000000002</v>
      </c>
      <c r="L46" s="105">
        <f t="shared" si="3"/>
        <v>70.412345000000002</v>
      </c>
    </row>
    <row r="47" spans="1:32" s="49" customFormat="1" ht="62.4" x14ac:dyDescent="0.3">
      <c r="A47" s="103" t="str">
        <f t="shared" si="11"/>
        <v>6e</v>
      </c>
      <c r="B47" s="249"/>
      <c r="C47" s="229"/>
      <c r="D47" s="246"/>
      <c r="E47" s="83" t="s">
        <v>44</v>
      </c>
      <c r="F47" s="85" t="s">
        <v>93</v>
      </c>
      <c r="G47" s="116" t="s">
        <v>39</v>
      </c>
      <c r="H47" s="117" t="s">
        <v>202</v>
      </c>
      <c r="I47" s="108" t="str">
        <f t="shared" si="2"/>
        <v>Mantenimiento del control</v>
      </c>
      <c r="J47" s="105">
        <f t="shared" si="10"/>
        <v>80</v>
      </c>
      <c r="K47" s="105">
        <v>0.41234559999999998</v>
      </c>
      <c r="L47" s="105">
        <f t="shared" si="3"/>
        <v>80.412345599999995</v>
      </c>
    </row>
    <row r="48" spans="1:32" s="49" customFormat="1" ht="46.8" x14ac:dyDescent="0.3">
      <c r="A48" s="103" t="str">
        <f t="shared" si="11"/>
        <v>6f</v>
      </c>
      <c r="B48" s="249"/>
      <c r="C48" s="229"/>
      <c r="D48" s="246"/>
      <c r="E48" s="83" t="s">
        <v>46</v>
      </c>
      <c r="F48" s="85" t="s">
        <v>94</v>
      </c>
      <c r="G48" s="116" t="s">
        <v>39</v>
      </c>
      <c r="H48" s="117" t="s">
        <v>232</v>
      </c>
      <c r="I48" s="108" t="str">
        <f t="shared" si="2"/>
        <v>Mantenimiento del control</v>
      </c>
      <c r="J48" s="105">
        <f t="shared" si="10"/>
        <v>80</v>
      </c>
      <c r="K48" s="105">
        <v>0.41234567</v>
      </c>
      <c r="L48" s="105">
        <f t="shared" si="3"/>
        <v>80.412345669999993</v>
      </c>
    </row>
    <row r="49" spans="1:17" s="49" customFormat="1" ht="47.4" thickBot="1" x14ac:dyDescent="0.35">
      <c r="A49" s="103" t="str">
        <f t="shared" si="11"/>
        <v>6g</v>
      </c>
      <c r="B49" s="250"/>
      <c r="C49" s="230"/>
      <c r="D49" s="247"/>
      <c r="E49" s="86" t="s">
        <v>48</v>
      </c>
      <c r="F49" s="87" t="s">
        <v>95</v>
      </c>
      <c r="G49" s="118" t="s">
        <v>76</v>
      </c>
      <c r="H49" s="119" t="s">
        <v>206</v>
      </c>
      <c r="I49" s="109" t="str">
        <f t="shared" si="2"/>
        <v>Oportunidad de mejora</v>
      </c>
      <c r="J49" s="105">
        <f t="shared" si="10"/>
        <v>70</v>
      </c>
      <c r="K49" s="105">
        <v>0.41234567799999999</v>
      </c>
      <c r="L49" s="105">
        <f t="shared" si="3"/>
        <v>70.412345677999994</v>
      </c>
    </row>
    <row r="50" spans="1:17" s="49" customFormat="1" ht="54.75" customHeight="1" x14ac:dyDescent="0.3">
      <c r="A50" s="103" t="str">
        <f>7&amp;E50</f>
        <v>7a</v>
      </c>
      <c r="B50" s="216" t="s">
        <v>96</v>
      </c>
      <c r="C50" s="231" t="s">
        <v>97</v>
      </c>
      <c r="D50" s="213" t="s">
        <v>98</v>
      </c>
      <c r="E50" s="81" t="s">
        <v>34</v>
      </c>
      <c r="F50" s="82" t="s">
        <v>99</v>
      </c>
      <c r="G50" s="112" t="s">
        <v>76</v>
      </c>
      <c r="H50" s="113" t="s">
        <v>208</v>
      </c>
      <c r="I50" s="104" t="str">
        <f t="shared" si="2"/>
        <v>Oportunidad de mejora</v>
      </c>
      <c r="J50" s="105">
        <f>+IF(G50="Si",120,IF(G50="En proceso",100,80))</f>
        <v>100</v>
      </c>
      <c r="K50" s="105">
        <v>0.85099999999999998</v>
      </c>
      <c r="L50" s="105">
        <f t="shared" si="3"/>
        <v>100.851</v>
      </c>
    </row>
    <row r="51" spans="1:17" s="49" customFormat="1" ht="78" x14ac:dyDescent="0.3">
      <c r="A51" s="103" t="str">
        <f t="shared" ref="A51:A53" si="12">7&amp;E51</f>
        <v>7d</v>
      </c>
      <c r="B51" s="217"/>
      <c r="C51" s="232"/>
      <c r="D51" s="214"/>
      <c r="E51" s="83" t="s">
        <v>42</v>
      </c>
      <c r="F51" s="85" t="s">
        <v>100</v>
      </c>
      <c r="G51" s="116" t="s">
        <v>39</v>
      </c>
      <c r="H51" s="117" t="s">
        <v>203</v>
      </c>
      <c r="I51" s="108" t="str">
        <f t="shared" si="2"/>
        <v>Mantenimiento del control</v>
      </c>
      <c r="J51" s="105">
        <f t="shared" ref="J51:J59" si="13">+IF(G51="Si",120,IF(G51="En proceso",100,80))</f>
        <v>120</v>
      </c>
      <c r="K51" s="105">
        <v>0.85119999999999996</v>
      </c>
      <c r="L51" s="105">
        <f t="shared" si="3"/>
        <v>120.85120000000001</v>
      </c>
    </row>
    <row r="52" spans="1:17" s="49" customFormat="1" ht="46.8" x14ac:dyDescent="0.3">
      <c r="A52" s="103" t="str">
        <f t="shared" si="12"/>
        <v>7f</v>
      </c>
      <c r="B52" s="217"/>
      <c r="C52" s="232"/>
      <c r="D52" s="214"/>
      <c r="E52" s="83" t="s">
        <v>46</v>
      </c>
      <c r="F52" s="85" t="s">
        <v>101</v>
      </c>
      <c r="G52" s="116" t="s">
        <v>39</v>
      </c>
      <c r="H52" s="117" t="s">
        <v>233</v>
      </c>
      <c r="I52" s="108" t="str">
        <f t="shared" si="2"/>
        <v>Mantenimiento del control</v>
      </c>
      <c r="J52" s="105">
        <f t="shared" si="13"/>
        <v>120</v>
      </c>
      <c r="K52" s="105">
        <v>0.85123000000000004</v>
      </c>
      <c r="L52" s="105">
        <f t="shared" si="3"/>
        <v>120.85123</v>
      </c>
    </row>
    <row r="53" spans="1:17" s="49" customFormat="1" ht="31.8" thickBot="1" x14ac:dyDescent="0.35">
      <c r="A53" s="103" t="str">
        <f t="shared" si="12"/>
        <v>7g</v>
      </c>
      <c r="B53" s="218"/>
      <c r="C53" s="233"/>
      <c r="D53" s="251"/>
      <c r="E53" s="86" t="s">
        <v>48</v>
      </c>
      <c r="F53" s="87" t="s">
        <v>102</v>
      </c>
      <c r="G53" s="118" t="s">
        <v>39</v>
      </c>
      <c r="H53" s="119" t="s">
        <v>204</v>
      </c>
      <c r="I53" s="109" t="str">
        <f t="shared" si="2"/>
        <v>Mantenimiento del control</v>
      </c>
      <c r="J53" s="105">
        <f t="shared" si="13"/>
        <v>120</v>
      </c>
      <c r="K53" s="105">
        <v>0.85123400000000005</v>
      </c>
      <c r="L53" s="105">
        <f t="shared" si="3"/>
        <v>120.85123400000001</v>
      </c>
    </row>
    <row r="54" spans="1:17" s="49" customFormat="1" ht="102.75" customHeight="1" thickBot="1" x14ac:dyDescent="0.35">
      <c r="A54" s="103" t="str">
        <f>8&amp;E54</f>
        <v>8h</v>
      </c>
      <c r="B54" s="159" t="s">
        <v>103</v>
      </c>
      <c r="C54" s="160" t="s">
        <v>97</v>
      </c>
      <c r="D54" s="76" t="s">
        <v>104</v>
      </c>
      <c r="E54" s="81" t="s">
        <v>50</v>
      </c>
      <c r="F54" s="82" t="s">
        <v>105</v>
      </c>
      <c r="G54" s="112" t="s">
        <v>39</v>
      </c>
      <c r="H54" s="113" t="s">
        <v>207</v>
      </c>
      <c r="I54" s="104" t="str">
        <f t="shared" si="2"/>
        <v>Mantenimiento del control</v>
      </c>
      <c r="J54" s="105">
        <f t="shared" si="13"/>
        <v>120</v>
      </c>
      <c r="K54" s="105">
        <v>0.85123450000000001</v>
      </c>
      <c r="L54" s="105">
        <f t="shared" si="3"/>
        <v>120.8512345</v>
      </c>
    </row>
    <row r="55" spans="1:17" s="49" customFormat="1" ht="54.75" customHeight="1" x14ac:dyDescent="0.3">
      <c r="A55" s="103" t="str">
        <f>9&amp;E55</f>
        <v>9a</v>
      </c>
      <c r="B55" s="216" t="s">
        <v>106</v>
      </c>
      <c r="C55" s="231" t="s">
        <v>97</v>
      </c>
      <c r="D55" s="213" t="s">
        <v>107</v>
      </c>
      <c r="E55" s="81" t="s">
        <v>34</v>
      </c>
      <c r="F55" s="82" t="s">
        <v>108</v>
      </c>
      <c r="G55" s="112" t="s">
        <v>39</v>
      </c>
      <c r="H55" s="113" t="s">
        <v>234</v>
      </c>
      <c r="I55" s="104" t="str">
        <f t="shared" si="2"/>
        <v>Mantenimiento del control</v>
      </c>
      <c r="J55" s="105">
        <f t="shared" si="13"/>
        <v>120</v>
      </c>
      <c r="K55" s="110">
        <v>0.85123455999999997</v>
      </c>
      <c r="L55" s="105">
        <f t="shared" si="3"/>
        <v>120.85123455999999</v>
      </c>
      <c r="M55" s="48"/>
      <c r="N55" s="48"/>
      <c r="O55" s="48"/>
      <c r="P55" s="48"/>
      <c r="Q55" s="48"/>
    </row>
    <row r="56" spans="1:17" s="49" customFormat="1" ht="55.5" customHeight="1" x14ac:dyDescent="0.3">
      <c r="A56" s="103" t="str">
        <f t="shared" ref="A56:A59" si="14">9&amp;E56</f>
        <v>9b</v>
      </c>
      <c r="B56" s="217"/>
      <c r="C56" s="232"/>
      <c r="D56" s="214"/>
      <c r="E56" s="83" t="s">
        <v>37</v>
      </c>
      <c r="F56" s="85" t="s">
        <v>109</v>
      </c>
      <c r="G56" s="116" t="s">
        <v>39</v>
      </c>
      <c r="H56" s="117" t="s">
        <v>235</v>
      </c>
      <c r="I56" s="108" t="str">
        <f t="shared" si="2"/>
        <v>Mantenimiento del control</v>
      </c>
      <c r="J56" s="105">
        <f t="shared" si="13"/>
        <v>120</v>
      </c>
      <c r="K56" s="110">
        <v>0.851234567</v>
      </c>
      <c r="L56" s="105">
        <f t="shared" si="3"/>
        <v>120.85123456700001</v>
      </c>
      <c r="M56" s="48"/>
      <c r="N56" s="48"/>
      <c r="O56" s="48"/>
      <c r="P56" s="48"/>
      <c r="Q56" s="48"/>
    </row>
    <row r="57" spans="1:17" s="49" customFormat="1" ht="77.25" customHeight="1" x14ac:dyDescent="0.3">
      <c r="A57" s="103" t="str">
        <f t="shared" si="14"/>
        <v>9c</v>
      </c>
      <c r="B57" s="217"/>
      <c r="C57" s="232"/>
      <c r="D57" s="214"/>
      <c r="E57" s="83" t="s">
        <v>40</v>
      </c>
      <c r="F57" s="85" t="s">
        <v>110</v>
      </c>
      <c r="G57" s="116" t="s">
        <v>76</v>
      </c>
      <c r="H57" s="117" t="s">
        <v>236</v>
      </c>
      <c r="I57" s="108" t="str">
        <f t="shared" si="2"/>
        <v>Oportunidad de mejora</v>
      </c>
      <c r="J57" s="105">
        <f t="shared" si="13"/>
        <v>100</v>
      </c>
      <c r="K57" s="110">
        <v>0.85123456779999995</v>
      </c>
      <c r="L57" s="105">
        <f t="shared" si="3"/>
        <v>100.85123456780001</v>
      </c>
      <c r="M57" s="48"/>
      <c r="N57" s="48"/>
      <c r="O57" s="48"/>
      <c r="P57" s="48"/>
      <c r="Q57" s="48"/>
    </row>
    <row r="58" spans="1:17" s="49" customFormat="1" ht="77.25" customHeight="1" x14ac:dyDescent="0.3">
      <c r="A58" s="103" t="str">
        <f t="shared" si="14"/>
        <v>9d</v>
      </c>
      <c r="B58" s="217"/>
      <c r="C58" s="232"/>
      <c r="D58" s="214"/>
      <c r="E58" s="83" t="s">
        <v>42</v>
      </c>
      <c r="F58" s="85" t="s">
        <v>111</v>
      </c>
      <c r="G58" s="116" t="s">
        <v>76</v>
      </c>
      <c r="H58" s="117" t="s">
        <v>241</v>
      </c>
      <c r="I58" s="108" t="str">
        <f t="shared" si="2"/>
        <v>Oportunidad de mejora</v>
      </c>
      <c r="J58" s="105">
        <f t="shared" si="13"/>
        <v>100</v>
      </c>
      <c r="K58" s="110">
        <v>0.85123456788999996</v>
      </c>
      <c r="L58" s="105">
        <f t="shared" si="3"/>
        <v>100.85123456789</v>
      </c>
      <c r="M58" s="48"/>
      <c r="N58" s="48"/>
      <c r="O58" s="48"/>
      <c r="P58" s="48"/>
      <c r="Q58" s="48"/>
    </row>
    <row r="59" spans="1:17" s="49" customFormat="1" ht="77.25" customHeight="1" thickBot="1" x14ac:dyDescent="0.35">
      <c r="A59" s="103" t="str">
        <f t="shared" si="14"/>
        <v>9e</v>
      </c>
      <c r="B59" s="218"/>
      <c r="C59" s="232"/>
      <c r="D59" s="215"/>
      <c r="E59" s="86" t="s">
        <v>44</v>
      </c>
      <c r="F59" s="87" t="s">
        <v>112</v>
      </c>
      <c r="G59" s="118" t="s">
        <v>39</v>
      </c>
      <c r="H59" s="119" t="s">
        <v>205</v>
      </c>
      <c r="I59" s="109" t="str">
        <f t="shared" si="2"/>
        <v>Mantenimiento del control</v>
      </c>
      <c r="J59" s="105">
        <f t="shared" si="13"/>
        <v>120</v>
      </c>
      <c r="K59" s="110">
        <v>0.85123456789100005</v>
      </c>
      <c r="L59" s="105">
        <f t="shared" si="3"/>
        <v>120.851234567891</v>
      </c>
      <c r="M59" s="48"/>
      <c r="N59" s="48"/>
      <c r="O59" s="48"/>
      <c r="P59" s="48"/>
      <c r="Q59" s="48"/>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B14:I14"/>
    <mergeCell ref="D43:D49"/>
    <mergeCell ref="B43:B49"/>
    <mergeCell ref="D50:D53"/>
    <mergeCell ref="B50:B53"/>
    <mergeCell ref="D16:D27"/>
    <mergeCell ref="B16:B27"/>
    <mergeCell ref="B28:B31"/>
    <mergeCell ref="D28:D31"/>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abSelected="1" topLeftCell="A12" zoomScale="80" zoomScaleNormal="80" workbookViewId="0">
      <selection activeCell="O19" sqref="O19"/>
    </sheetView>
  </sheetViews>
  <sheetFormatPr baseColWidth="10" defaultColWidth="11.44140625" defaultRowHeight="14.4" x14ac:dyDescent="0.3"/>
  <cols>
    <col min="3" max="3" width="22.88671875" customWidth="1"/>
    <col min="4" max="4" width="22.5546875" customWidth="1"/>
    <col min="5" max="5" width="53.44140625" customWidth="1"/>
    <col min="7" max="7" width="28.33203125" customWidth="1"/>
    <col min="8" max="8" width="4.88671875" customWidth="1"/>
    <col min="9" max="9" width="15.33203125" customWidth="1"/>
    <col min="10" max="10" width="22.44140625" customWidth="1"/>
    <col min="11" max="29" width="11.44140625" style="1"/>
  </cols>
  <sheetData>
    <row r="1" spans="1:11" x14ac:dyDescent="0.3">
      <c r="A1" s="1"/>
      <c r="B1" s="1"/>
      <c r="C1" s="1"/>
      <c r="D1" s="1"/>
      <c r="E1" s="1"/>
      <c r="F1" s="1"/>
      <c r="G1" s="1"/>
      <c r="H1" s="1"/>
      <c r="I1" s="1"/>
      <c r="J1" s="1"/>
    </row>
    <row r="2" spans="1:11" s="1" customFormat="1" x14ac:dyDescent="0.3"/>
    <row r="3" spans="1:11" s="1" customFormat="1" x14ac:dyDescent="0.3"/>
    <row r="4" spans="1:11" x14ac:dyDescent="0.3">
      <c r="A4" s="1"/>
      <c r="B4" s="1"/>
      <c r="C4" s="1"/>
      <c r="D4" s="1"/>
      <c r="E4" s="1"/>
      <c r="F4" s="1"/>
      <c r="G4" s="1"/>
      <c r="H4" s="1"/>
      <c r="I4" s="1"/>
      <c r="J4" s="1"/>
    </row>
    <row r="5" spans="1:11" x14ac:dyDescent="0.3">
      <c r="A5" s="1"/>
      <c r="B5" s="1"/>
      <c r="C5" s="1"/>
      <c r="D5" s="1"/>
      <c r="E5" s="1"/>
      <c r="F5" s="1"/>
      <c r="G5" s="1"/>
      <c r="H5" s="1"/>
      <c r="I5" s="1"/>
      <c r="J5" s="1"/>
    </row>
    <row r="6" spans="1:11" ht="15" thickBot="1" x14ac:dyDescent="0.35">
      <c r="A6" s="1"/>
      <c r="B6" s="1"/>
      <c r="C6" s="1"/>
      <c r="D6" s="1"/>
      <c r="E6" s="1"/>
      <c r="F6" s="1"/>
      <c r="G6" s="1"/>
      <c r="H6" s="1"/>
      <c r="I6" s="1"/>
      <c r="J6" s="1"/>
    </row>
    <row r="7" spans="1:11" ht="25.8" thickBot="1" x14ac:dyDescent="0.35">
      <c r="A7" s="1"/>
      <c r="B7" s="1"/>
      <c r="C7" s="294" t="s">
        <v>113</v>
      </c>
      <c r="D7" s="295"/>
      <c r="E7" s="295"/>
      <c r="F7" s="295"/>
      <c r="G7" s="295"/>
      <c r="H7" s="295"/>
      <c r="I7" s="295"/>
      <c r="J7" s="295"/>
      <c r="K7" s="296"/>
    </row>
    <row r="8" spans="1:11" s="1" customFormat="1" ht="15" thickBot="1" x14ac:dyDescent="0.35">
      <c r="C8" s="39"/>
      <c r="D8" s="39"/>
      <c r="E8" s="40"/>
      <c r="F8" s="40"/>
      <c r="G8" s="40"/>
      <c r="H8" s="40"/>
      <c r="I8" s="50"/>
      <c r="J8" s="40"/>
      <c r="K8" s="40"/>
    </row>
    <row r="9" spans="1:11" ht="21" thickBot="1" x14ac:dyDescent="0.35">
      <c r="A9" s="1"/>
      <c r="B9" s="1"/>
      <c r="C9" s="196" t="s">
        <v>15</v>
      </c>
      <c r="D9" s="197"/>
      <c r="E9" s="197" t="s">
        <v>16</v>
      </c>
      <c r="F9" s="208"/>
      <c r="G9" s="40"/>
      <c r="H9" s="40"/>
      <c r="I9" s="50"/>
      <c r="J9" s="40"/>
      <c r="K9" s="40"/>
    </row>
    <row r="10" spans="1:11" ht="54" customHeight="1" x14ac:dyDescent="0.3">
      <c r="A10" s="1"/>
      <c r="B10" s="1"/>
      <c r="C10" s="209" t="s">
        <v>17</v>
      </c>
      <c r="D10" s="210"/>
      <c r="E10" s="211" t="s">
        <v>18</v>
      </c>
      <c r="F10" s="212"/>
      <c r="G10" s="41"/>
      <c r="H10" s="42">
        <v>1</v>
      </c>
      <c r="I10" s="50"/>
      <c r="J10" s="40"/>
      <c r="K10" s="40"/>
    </row>
    <row r="11" spans="1:11" ht="46.5" customHeight="1" x14ac:dyDescent="0.3">
      <c r="A11" s="1"/>
      <c r="B11" s="1"/>
      <c r="C11" s="198" t="s">
        <v>19</v>
      </c>
      <c r="D11" s="199"/>
      <c r="E11" s="200" t="s">
        <v>114</v>
      </c>
      <c r="F11" s="201"/>
      <c r="G11" s="43" t="s">
        <v>115</v>
      </c>
      <c r="H11" s="42">
        <v>0.75</v>
      </c>
      <c r="I11" s="50"/>
      <c r="J11" s="40"/>
      <c r="K11" s="40"/>
    </row>
    <row r="12" spans="1:11" ht="70.5" customHeight="1" thickBot="1" x14ac:dyDescent="0.35">
      <c r="A12" s="1"/>
      <c r="B12" s="1"/>
      <c r="C12" s="202" t="s">
        <v>21</v>
      </c>
      <c r="D12" s="203"/>
      <c r="E12" s="204" t="s">
        <v>116</v>
      </c>
      <c r="F12" s="205"/>
      <c r="G12" s="44"/>
      <c r="H12" s="42">
        <v>0.25</v>
      </c>
      <c r="I12" s="50"/>
      <c r="J12" s="40"/>
      <c r="K12" s="40"/>
    </row>
    <row r="13" spans="1:11" s="1" customFormat="1" x14ac:dyDescent="0.3"/>
    <row r="14" spans="1:11" s="1" customFormat="1" x14ac:dyDescent="0.3"/>
    <row r="15" spans="1:11" s="1" customFormat="1" x14ac:dyDescent="0.3"/>
    <row r="16" spans="1:11" s="1" customFormat="1" ht="15" thickBot="1" x14ac:dyDescent="0.35"/>
    <row r="17" spans="1:10" x14ac:dyDescent="0.3">
      <c r="A17" s="1"/>
      <c r="B17" s="1"/>
      <c r="C17" s="286" t="s">
        <v>117</v>
      </c>
      <c r="D17" s="288" t="s">
        <v>118</v>
      </c>
      <c r="E17" s="289"/>
      <c r="F17" s="290" t="s">
        <v>119</v>
      </c>
      <c r="G17" s="292" t="s">
        <v>120</v>
      </c>
      <c r="H17" s="38"/>
      <c r="I17" s="281" t="s">
        <v>121</v>
      </c>
      <c r="J17" s="281" t="s">
        <v>122</v>
      </c>
    </row>
    <row r="18" spans="1:10" ht="36" customHeight="1" thickBot="1" x14ac:dyDescent="0.35">
      <c r="A18" s="1"/>
      <c r="B18" s="1"/>
      <c r="C18" s="287"/>
      <c r="D18" s="122" t="s">
        <v>123</v>
      </c>
      <c r="E18" s="123" t="s">
        <v>27</v>
      </c>
      <c r="F18" s="291"/>
      <c r="G18" s="293"/>
      <c r="H18" s="38"/>
      <c r="I18" s="282"/>
      <c r="J18" s="282"/>
    </row>
    <row r="19" spans="1:10" ht="65.25" customHeight="1" x14ac:dyDescent="0.3">
      <c r="A19" s="1"/>
      <c r="B19" s="1"/>
      <c r="C19" s="141">
        <v>1</v>
      </c>
      <c r="D19" s="283" t="s">
        <v>32</v>
      </c>
      <c r="E19" s="124" t="str">
        <f>+IFERROR(INDEX(Hoja1!$E$2:$E$45,MATCH('Análisis Resultados'!C19,Hoja1!$H$2:$H$45,0)),"")</f>
        <v>Evaluación a los servidores públicos de acuerdo con el marco normativo que le rige</v>
      </c>
      <c r="F19" s="125" t="str">
        <f>+IFERROR(VLOOKUP(C19,Hoja1!$H$2:$I$45,2,0),"")</f>
        <v>No</v>
      </c>
      <c r="G19" s="126"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19" s="18"/>
      <c r="I19" s="142">
        <f>+IF(F19="Si",1,IF(F19="En proceso",0.5,0))</f>
        <v>0</v>
      </c>
      <c r="J19" s="265">
        <f>+AVERAGE(I19:I30)</f>
        <v>0.91666666666666663</v>
      </c>
    </row>
    <row r="20" spans="1:10" ht="30.6" x14ac:dyDescent="0.3">
      <c r="A20" s="1"/>
      <c r="B20" s="1"/>
      <c r="C20" s="141">
        <v>2</v>
      </c>
      <c r="D20" s="284"/>
      <c r="E20" s="127" t="str">
        <f>+IFERROR(INDEX(Hoja1!$E$2:$E$45,MATCH('Análisis Resultados'!C20,Hoja1!$H$2:$H$45,0)),"")</f>
        <v>Documento interno o adopción del MECI actualizado</v>
      </c>
      <c r="F20" s="128" t="str">
        <f>+IFERROR(VLOOKUP(C20,Hoja1!$H$2:$I$45,2,0),"")</f>
        <v>Si</v>
      </c>
      <c r="G20" s="129"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0" s="18"/>
      <c r="I20" s="143">
        <f t="shared" ref="I20:I62" si="1">+IF(F20="Si",1,IF(F20="En proceso",0.5,0))</f>
        <v>1</v>
      </c>
      <c r="J20" s="266"/>
    </row>
    <row r="21" spans="1:10" ht="41.4" x14ac:dyDescent="0.3">
      <c r="A21" s="1"/>
      <c r="B21" s="1"/>
      <c r="C21" s="141">
        <v>3</v>
      </c>
      <c r="D21" s="284"/>
      <c r="E21" s="127" t="str">
        <f>+IFERROR(INDEX(Hoja1!$E$2:$E$45,MATCH('Análisis Resultados'!C21,Hoja1!$H$2:$H$45,0)),"")</f>
        <v>Un documento tal como un código de ética, integridad u otro que formalice los estándares de conducta, los principios institucionales o los valores del servicio público</v>
      </c>
      <c r="F21" s="128" t="str">
        <f>+IFERROR(VLOOKUP(C21,Hoja1!$H$2:$I$45,2,0),"")</f>
        <v>Si</v>
      </c>
      <c r="G21" s="129" t="str">
        <f t="shared" si="0"/>
        <v>Existe requerimiento pero se requiere actividades  dirigidas a su mantenimiento dentro del marco de las lineas de defensa.</v>
      </c>
      <c r="H21" s="18"/>
      <c r="I21" s="143">
        <f t="shared" si="1"/>
        <v>1</v>
      </c>
      <c r="J21" s="266"/>
    </row>
    <row r="22" spans="1:10" ht="56.25" customHeight="1" x14ac:dyDescent="0.3">
      <c r="A22" s="1"/>
      <c r="B22" s="1"/>
      <c r="C22" s="141">
        <v>4</v>
      </c>
      <c r="D22" s="284"/>
      <c r="E22" s="127" t="str">
        <f>+IFERROR(INDEX(Hoja1!$E$2:$E$45,MATCH('Análisis Resultados'!C22,Hoja1!$H$2:$H$45,0)),"")</f>
        <v>Planes, programas y proyectos de acuerdo con las normas que rigen y atendiendo con su propósito fundamental institucional (misión)</v>
      </c>
      <c r="F22" s="128" t="str">
        <f>+IFERROR(VLOOKUP(C22,Hoja1!$H$2:$I$45,2,0),"")</f>
        <v>Si</v>
      </c>
      <c r="G22" s="129" t="str">
        <f t="shared" si="0"/>
        <v>Existe requerimiento pero se requiere actividades  dirigidas a su mantenimiento dentro del marco de las lineas de defensa.</v>
      </c>
      <c r="H22" s="18"/>
      <c r="I22" s="143">
        <f t="shared" si="1"/>
        <v>1</v>
      </c>
      <c r="J22" s="266"/>
    </row>
    <row r="23" spans="1:10" ht="30.6" x14ac:dyDescent="0.3">
      <c r="A23" s="1"/>
      <c r="B23" s="1"/>
      <c r="C23" s="141">
        <v>5</v>
      </c>
      <c r="D23" s="284"/>
      <c r="E23" s="127" t="str">
        <f>+IFERROR(INDEX(Hoja1!$E$2:$E$45,MATCH('Análisis Resultados'!C23,Hoja1!$H$2:$H$45,0)),"")</f>
        <v>Una estructura organizacional formalizada (organigrama)</v>
      </c>
      <c r="F23" s="128" t="str">
        <f>+IFERROR(VLOOKUP(C23,Hoja1!$H$2:$I$45,2,0),"")</f>
        <v>Si</v>
      </c>
      <c r="G23" s="129" t="str">
        <f t="shared" si="0"/>
        <v>Existe requerimiento pero se requiere actividades  dirigidas a su mantenimiento dentro del marco de las lineas de defensa.</v>
      </c>
      <c r="H23" s="18"/>
      <c r="I23" s="143">
        <f t="shared" si="1"/>
        <v>1</v>
      </c>
      <c r="J23" s="266"/>
    </row>
    <row r="24" spans="1:10" ht="30.6" x14ac:dyDescent="0.3">
      <c r="A24" s="1"/>
      <c r="B24" s="1"/>
      <c r="C24" s="141">
        <v>6</v>
      </c>
      <c r="D24" s="284"/>
      <c r="E24" s="127" t="str">
        <f>+IFERROR(INDEX(Hoja1!$E$2:$E$45,MATCH('Análisis Resultados'!C24,Hoja1!$H$2:$H$45,0)),"")</f>
        <v>Un manual de funciones que describa los empleos de la entidad</v>
      </c>
      <c r="F24" s="128" t="str">
        <f>+IFERROR(VLOOKUP(C24,Hoja1!$H$2:$I$45,2,0),"")</f>
        <v>Si</v>
      </c>
      <c r="G24" s="129" t="str">
        <f t="shared" si="0"/>
        <v>Existe requerimiento pero se requiere actividades  dirigidas a su mantenimiento dentro del marco de las lineas de defensa.</v>
      </c>
      <c r="H24" s="18"/>
      <c r="I24" s="143">
        <f t="shared" si="1"/>
        <v>1</v>
      </c>
      <c r="J24" s="266"/>
    </row>
    <row r="25" spans="1:10" ht="41.4" x14ac:dyDescent="0.3">
      <c r="A25" s="1"/>
      <c r="B25" s="1"/>
      <c r="C25" s="141">
        <v>7</v>
      </c>
      <c r="D25" s="284"/>
      <c r="E25" s="127" t="str">
        <f>+IFERROR(INDEX(Hoja1!$E$2:$E$45,MATCH('Análisis Resultados'!C25,Hoja1!$H$2:$H$45,0)),"")</f>
        <v>La documentación de sus procesos y procedimientos o bien una lista de actividades principales que permitan conocer el estado de su gestión</v>
      </c>
      <c r="F25" s="128" t="str">
        <f>+IFERROR(VLOOKUP(C25,Hoja1!$H$2:$I$45,2,0),"")</f>
        <v>Si</v>
      </c>
      <c r="G25" s="129" t="str">
        <f t="shared" si="0"/>
        <v>Existe requerimiento pero se requiere actividades  dirigidas a su mantenimiento dentro del marco de las lineas de defensa.</v>
      </c>
      <c r="H25" s="18"/>
      <c r="I25" s="143">
        <f t="shared" si="1"/>
        <v>1</v>
      </c>
      <c r="J25" s="266"/>
    </row>
    <row r="26" spans="1:10" ht="41.4" x14ac:dyDescent="0.3">
      <c r="A26" s="1"/>
      <c r="B26" s="1"/>
      <c r="C26" s="141">
        <v>8</v>
      </c>
      <c r="D26" s="284"/>
      <c r="E26" s="127" t="str">
        <f>+IFERROR(INDEX(Hoja1!$E$2:$E$45,MATCH('Análisis Resultados'!C26,Hoja1!$H$2:$H$45,0)),"")</f>
        <v>Vinculación de los servidores públicos de acuerdo con el marco normativo que les rige (carrera administrativa, libre nombramiento y remoción, entre otros)</v>
      </c>
      <c r="F26" s="128" t="str">
        <f>+IFERROR(VLOOKUP(C26,Hoja1!$H$2:$I$45,2,0),"")</f>
        <v>Si</v>
      </c>
      <c r="G26" s="129" t="str">
        <f t="shared" si="0"/>
        <v>Existe requerimiento pero se requiere actividades  dirigidas a su mantenimiento dentro del marco de las lineas de defensa.</v>
      </c>
      <c r="H26" s="18"/>
      <c r="I26" s="143">
        <f t="shared" si="1"/>
        <v>1</v>
      </c>
      <c r="J26" s="266"/>
    </row>
    <row r="27" spans="1:10" ht="41.4" x14ac:dyDescent="0.3">
      <c r="A27" s="1"/>
      <c r="B27" s="1"/>
      <c r="C27" s="141">
        <v>9</v>
      </c>
      <c r="D27" s="284"/>
      <c r="E27" s="127" t="str">
        <f>+IFERROR(INDEX(Hoja1!$E$2:$E$45,MATCH('Análisis Resultados'!C27,Hoja1!$H$2:$H$45,0)),"")</f>
        <v>Procesos de inducción, capacitación y bienestar social para sus servidores públicos, de manera directa o en asociación con otras entidades municipales</v>
      </c>
      <c r="F27" s="128" t="str">
        <f>+IFERROR(VLOOKUP(C27,Hoja1!$H$2:$I$45,2,0),"")</f>
        <v>Si</v>
      </c>
      <c r="G27" s="129" t="str">
        <f t="shared" si="0"/>
        <v>Existe requerimiento pero se requiere actividades  dirigidas a su mantenimiento dentro del marco de las lineas de defensa.</v>
      </c>
      <c r="H27" s="18"/>
      <c r="I27" s="143">
        <f t="shared" si="1"/>
        <v>1</v>
      </c>
      <c r="J27" s="266"/>
    </row>
    <row r="28" spans="1:10" ht="30.6" x14ac:dyDescent="0.3">
      <c r="A28" s="1"/>
      <c r="B28" s="1"/>
      <c r="C28" s="141">
        <v>10</v>
      </c>
      <c r="D28" s="284"/>
      <c r="E28" s="127" t="str">
        <f>+IFERROR(INDEX(Hoja1!$E$2:$E$45,MATCH('Análisis Resultados'!C28,Hoja1!$H$2:$H$45,0)),"")</f>
        <v>Procesos de desvinculación de servidores de acuerdo con lo previsto en la Constitución Política y las leyes</v>
      </c>
      <c r="F28" s="128" t="str">
        <f>+IFERROR(VLOOKUP(C28,Hoja1!$H$2:$I$45,2,0),"")</f>
        <v>Si</v>
      </c>
      <c r="G28" s="129" t="str">
        <f t="shared" si="0"/>
        <v>Existe requerimiento pero se requiere actividades  dirigidas a su mantenimiento dentro del marco de las lineas de defensa.</v>
      </c>
      <c r="H28" s="18"/>
      <c r="I28" s="143">
        <f t="shared" si="1"/>
        <v>1</v>
      </c>
      <c r="J28" s="266"/>
    </row>
    <row r="29" spans="1:10" ht="30.6" x14ac:dyDescent="0.3">
      <c r="A29" s="1"/>
      <c r="B29" s="1"/>
      <c r="C29" s="141">
        <v>11</v>
      </c>
      <c r="D29" s="284"/>
      <c r="E29" s="127" t="str">
        <f>+IFERROR(INDEX(Hoja1!$E$2:$E$45,MATCH('Análisis Resultados'!C29,Hoja1!$H$2:$H$45,0)),"")</f>
        <v>Mecanismos de rendición de cuentas a la ciudadanía</v>
      </c>
      <c r="F29" s="128" t="str">
        <f>+IFERROR(VLOOKUP(C29,Hoja1!$H$2:$I$45,2,0),"")</f>
        <v>Si</v>
      </c>
      <c r="G29" s="129"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43">
        <f t="shared" si="1"/>
        <v>1</v>
      </c>
      <c r="J29" s="266"/>
    </row>
    <row r="30" spans="1:10" ht="31.2" thickBot="1" x14ac:dyDescent="0.35">
      <c r="A30" s="1"/>
      <c r="B30" s="1"/>
      <c r="C30" s="141">
        <v>12</v>
      </c>
      <c r="D30" s="285"/>
      <c r="E30" s="130" t="str">
        <f>+IFERROR(INDEX(Hoja1!$E$2:$E$45,MATCH('Análisis Resultados'!C30,Hoja1!$H$2:$H$45,0)),"")</f>
        <v>Presentación oportuna de sus informes de gestión a las autoridades competentes</v>
      </c>
      <c r="F30" s="131" t="str">
        <f>+IFERROR(VLOOKUP(C30,Hoja1!$H$2:$I$45,2,0),"")</f>
        <v>Si</v>
      </c>
      <c r="G30" s="132" t="str">
        <f t="shared" si="0"/>
        <v>Existe requerimiento pero se requiere actividades  dirigidas a su mantenimiento dentro del marco de las lineas de defensa.</v>
      </c>
      <c r="H30" s="18"/>
      <c r="I30" s="144">
        <f t="shared" si="1"/>
        <v>1</v>
      </c>
      <c r="J30" s="267"/>
    </row>
    <row r="31" spans="1:10" ht="45" customHeight="1" x14ac:dyDescent="0.3">
      <c r="A31" s="1"/>
      <c r="B31" s="1"/>
      <c r="C31" s="141">
        <v>13</v>
      </c>
      <c r="D31" s="279" t="s">
        <v>61</v>
      </c>
      <c r="E31" s="124" t="str">
        <f>+IFERROR(INDEX(Hoja1!$E$2:$E$45,MATCH('Análisis Resultados'!C31,Hoja1!$H$2:$H$45,0)),"")</f>
        <v>La identificación de cambios en su entorno que pueden generar consecuencias negativas en su gestión</v>
      </c>
      <c r="F31" s="125" t="str">
        <f>+IFERROR(VLOOKUP(C31,Hoja1!$H$2:$I$45,2,0),"")</f>
        <v>Si</v>
      </c>
      <c r="G31" s="126" t="str">
        <f t="shared" si="0"/>
        <v>Existe requerimiento pero se requiere actividades  dirigidas a su mantenimiento dentro del marco de las lineas de defensa.</v>
      </c>
      <c r="H31" s="18"/>
      <c r="I31" s="142">
        <f t="shared" si="1"/>
        <v>1</v>
      </c>
      <c r="J31" s="263">
        <f>+AVERAGE(I31:I40)</f>
        <v>1</v>
      </c>
    </row>
    <row r="32" spans="1:10" ht="57" customHeight="1" x14ac:dyDescent="0.3">
      <c r="A32" s="1"/>
      <c r="B32" s="1"/>
      <c r="C32" s="141">
        <v>14</v>
      </c>
      <c r="D32" s="280"/>
      <c r="E32" s="127" t="str">
        <f>+IFERROR(INDEX(Hoja1!$E$2:$E$45,MATCH('Análisis Resultados'!C32,Hoja1!$H$2:$H$45,0)),"")</f>
        <v>La identificación de aquellos problemas o aspectos que pueden afectar el cumplimiento de los planes de la entidad y en general su gestión institucional (riesgos)</v>
      </c>
      <c r="F32" s="128" t="str">
        <f>+IFERROR(VLOOKUP(C32,Hoja1!$H$2:$I$45,2,0),"")</f>
        <v>Si</v>
      </c>
      <c r="G32" s="129" t="str">
        <f t="shared" si="0"/>
        <v>Existe requerimiento pero se requiere actividades  dirigidas a su mantenimiento dentro del marco de las lineas de defensa.</v>
      </c>
      <c r="H32" s="18"/>
      <c r="I32" s="143">
        <f t="shared" si="1"/>
        <v>1</v>
      </c>
      <c r="J32" s="264"/>
    </row>
    <row r="33" spans="1:10" ht="54" customHeight="1" x14ac:dyDescent="0.3">
      <c r="A33" s="1"/>
      <c r="B33" s="1"/>
      <c r="C33" s="141">
        <v>15</v>
      </c>
      <c r="D33" s="280"/>
      <c r="E33" s="127" t="str">
        <f>+IFERROR(INDEX(Hoja1!$E$2:$E$45,MATCH('Análisis Resultados'!C33,Hoja1!$H$2:$H$45,0)),"")</f>
        <v>La identificación  de los riesgos relacionados con posibles actos de corrupción en el ejercicio de sus funciones</v>
      </c>
      <c r="F33" s="128" t="str">
        <f>+IFERROR(VLOOKUP(C33,Hoja1!$H$2:$I$45,2,0),"")</f>
        <v>Si</v>
      </c>
      <c r="G33" s="129" t="str">
        <f t="shared" si="0"/>
        <v>Existe requerimiento pero se requiere actividades  dirigidas a su mantenimiento dentro del marco de las lineas de defensa.</v>
      </c>
      <c r="H33" s="18"/>
      <c r="I33" s="143">
        <f t="shared" si="1"/>
        <v>1</v>
      </c>
      <c r="J33" s="264"/>
    </row>
    <row r="34" spans="1:10" ht="41.4" x14ac:dyDescent="0.3">
      <c r="A34" s="1"/>
      <c r="B34" s="1"/>
      <c r="C34" s="141">
        <v>16</v>
      </c>
      <c r="D34" s="280"/>
      <c r="E34" s="127" t="str">
        <f>+IFERROR(INDEX(Hoja1!$E$2:$E$45,MATCH('Análisis Resultados'!C34,Hoja1!$H$2:$H$45,0)),"")</f>
        <v>Si su capacidad e infraestructura lo permite, identificación de riesgos asociados a las tecnologías de la información y las comunicaciones</v>
      </c>
      <c r="F34" s="128" t="str">
        <f>+IFERROR(VLOOKUP(C34,Hoja1!$H$2:$I$45,2,0),"")</f>
        <v>Si</v>
      </c>
      <c r="G34" s="129" t="str">
        <f t="shared" si="0"/>
        <v>Existe requerimiento pero se requiere actividades  dirigidas a su mantenimiento dentro del marco de las lineas de defensa.</v>
      </c>
      <c r="H34" s="18"/>
      <c r="I34" s="143">
        <f t="shared" si="1"/>
        <v>1</v>
      </c>
      <c r="J34" s="264"/>
    </row>
    <row r="35" spans="1:10" ht="67.5" customHeight="1" x14ac:dyDescent="0.3">
      <c r="A35" s="1"/>
      <c r="B35" s="1"/>
      <c r="C35" s="141">
        <v>17</v>
      </c>
      <c r="D35" s="280"/>
      <c r="E35" s="127" t="str">
        <f>+IFERROR(INDEX(Hoja1!$E$2:$E$45,MATCH('Análisis Resultados'!C35,Hoja1!$H$2:$H$45,0)),"")</f>
        <v>Hacen seguimiento a los problemas (riesgos)  que pueden afectar el cumplimiento de sus procesos, programas o proyectos a cargo</v>
      </c>
      <c r="F35" s="128" t="str">
        <f>+IFERROR(VLOOKUP(C35,Hoja1!$H$2:$I$45,2,0),"")</f>
        <v>Si</v>
      </c>
      <c r="G35" s="129" t="str">
        <f t="shared" si="0"/>
        <v>Existe requerimiento pero se requiere actividades  dirigidas a su mantenimiento dentro del marco de las lineas de defensa.</v>
      </c>
      <c r="H35" s="18"/>
      <c r="I35" s="143">
        <f t="shared" si="1"/>
        <v>1</v>
      </c>
      <c r="J35" s="264"/>
    </row>
    <row r="36" spans="1:10" ht="30.6" x14ac:dyDescent="0.3">
      <c r="A36" s="1"/>
      <c r="B36" s="1"/>
      <c r="C36" s="141">
        <v>18</v>
      </c>
      <c r="D36" s="280"/>
      <c r="E36" s="127" t="str">
        <f>+IFERROR(INDEX(Hoja1!$E$2:$E$45,MATCH('Análisis Resultados'!C36,Hoja1!$H$2:$H$45,0)),"")</f>
        <v>Informan de manera periódica a quien corresponda sobre el desempeño de las actividades de gestión de riesgos</v>
      </c>
      <c r="F36" s="128" t="str">
        <f>+IFERROR(VLOOKUP(C36,Hoja1!$H$2:$I$45,2,0),"")</f>
        <v>Si</v>
      </c>
      <c r="G36" s="129" t="str">
        <f t="shared" si="0"/>
        <v>Existe requerimiento pero se requiere actividades  dirigidas a su mantenimiento dentro del marco de las lineas de defensa.</v>
      </c>
      <c r="H36" s="18"/>
      <c r="I36" s="143">
        <f t="shared" si="1"/>
        <v>1</v>
      </c>
      <c r="J36" s="264"/>
    </row>
    <row r="37" spans="1:10" ht="57" customHeight="1" x14ac:dyDescent="0.3">
      <c r="A37" s="1"/>
      <c r="B37" s="1"/>
      <c r="C37" s="141">
        <v>19</v>
      </c>
      <c r="D37" s="280"/>
      <c r="E37" s="127" t="str">
        <f>+IFERROR(INDEX(Hoja1!$E$2:$E$45,MATCH('Análisis Resultados'!C37,Hoja1!$H$2:$H$45,0)),"")</f>
        <v>Identifican deficiencias en las maneras de  controlar los riesgos o problemas en sus procesos, programas o proyectos, y propone los ajustes necesarios</v>
      </c>
      <c r="F37" s="128" t="str">
        <f>+IFERROR(VLOOKUP(C37,Hoja1!$H$2:$I$45,2,0),"")</f>
        <v>Si</v>
      </c>
      <c r="G37" s="129" t="str">
        <f t="shared" si="0"/>
        <v>Existe requerimiento pero se requiere actividades  dirigidas a su mantenimiento dentro del marco de las lineas de defensa.</v>
      </c>
      <c r="H37" s="18"/>
      <c r="I37" s="143">
        <f t="shared" si="1"/>
        <v>1</v>
      </c>
      <c r="J37" s="264"/>
    </row>
    <row r="38" spans="1:10" ht="30.6" x14ac:dyDescent="0.3">
      <c r="A38" s="1"/>
      <c r="B38" s="1"/>
      <c r="C38" s="141">
        <v>20</v>
      </c>
      <c r="D38" s="280"/>
      <c r="E38" s="127" t="str">
        <f>+IFERROR(INDEX(Hoja1!$E$2:$E$45,MATCH('Análisis Resultados'!C38,Hoja1!$H$2:$H$45,0)),"")</f>
        <v>Se definen espacios de reunión para conocerlos y proponer acciones para su solución</v>
      </c>
      <c r="F38" s="128" t="str">
        <f>+IFERROR(VLOOKUP(C38,Hoja1!$H$2:$I$45,2,0),"")</f>
        <v>Si</v>
      </c>
      <c r="G38" s="129" t="str">
        <f t="shared" si="0"/>
        <v>Existe requerimiento pero se requiere actividades  dirigidas a su mantenimiento dentro del marco de las lineas de defensa.</v>
      </c>
      <c r="H38" s="18"/>
      <c r="I38" s="143">
        <f t="shared" si="1"/>
        <v>1</v>
      </c>
      <c r="J38" s="264"/>
    </row>
    <row r="39" spans="1:10" ht="30.6" x14ac:dyDescent="0.3">
      <c r="A39" s="1"/>
      <c r="B39" s="1"/>
      <c r="C39" s="141">
        <v>21</v>
      </c>
      <c r="D39" s="280"/>
      <c r="E39" s="127" t="str">
        <f>+IFERROR(INDEX(Hoja1!$E$2:$E$45,MATCH('Análisis Resultados'!C39,Hoja1!$H$2:$H$45,0)),"")</f>
        <v>Cada líder del equipo autónomamente toma las acciones para solucionarlos.</v>
      </c>
      <c r="F39" s="128" t="str">
        <f>+IFERROR(VLOOKUP(C39,Hoja1!$H$2:$I$45,2,0),"")</f>
        <v>Si</v>
      </c>
      <c r="G39" s="129" t="str">
        <f t="shared" si="0"/>
        <v>Existe requerimiento pero se requiere actividades  dirigidas a su mantenimiento dentro del marco de las lineas de defensa.</v>
      </c>
      <c r="H39" s="18"/>
      <c r="I39" s="143">
        <f t="shared" si="1"/>
        <v>1</v>
      </c>
      <c r="J39" s="264"/>
    </row>
    <row r="40" spans="1:10" ht="31.2" thickBot="1" x14ac:dyDescent="0.35">
      <c r="A40" s="1"/>
      <c r="B40" s="1"/>
      <c r="C40" s="141">
        <v>22</v>
      </c>
      <c r="D40" s="280"/>
      <c r="E40" s="133" t="str">
        <f>+IFERROR(INDEX(Hoja1!$E$2:$E$45,MATCH('Análisis Resultados'!C40,Hoja1!$H$2:$H$45,0)),"")</f>
        <v>Solamente hasta que un organismo de control actúa se definen acciones de mejora.</v>
      </c>
      <c r="F40" s="134" t="str">
        <f>+IFERROR(VLOOKUP(C40,Hoja1!$H$2:$I$45,2,0),"")</f>
        <v>Si</v>
      </c>
      <c r="G40" s="135" t="str">
        <f t="shared" si="0"/>
        <v>Existe requerimiento pero se requiere actividades  dirigidas a su mantenimiento dentro del marco de las lineas de defensa.</v>
      </c>
      <c r="H40" s="18"/>
      <c r="I40" s="145">
        <f t="shared" si="1"/>
        <v>1</v>
      </c>
      <c r="J40" s="264"/>
    </row>
    <row r="41" spans="1:10" ht="87.75" customHeight="1" x14ac:dyDescent="0.3">
      <c r="A41" s="1"/>
      <c r="B41" s="1"/>
      <c r="C41" s="141">
        <v>23</v>
      </c>
      <c r="D41" s="275" t="s">
        <v>79</v>
      </c>
      <c r="E41" s="124" t="str">
        <f>+IFERROR(INDEX(Hoja1!$E$2:$E$45,MATCH('Análisis Resultados'!C41,Hoja1!$H$2:$H$45,0)),"")</f>
        <v>La definición de acciones o actividades para para dar tratamiento a los problemas identificados (mitigación de riesgos), incluyendo aquellos asociados a posibles actos de corrupción</v>
      </c>
      <c r="F41" s="125" t="str">
        <f>+IFERROR(VLOOKUP(C41,Hoja1!$H$2:$I$45,2,0),"")</f>
        <v>Si</v>
      </c>
      <c r="G41" s="126" t="str">
        <f t="shared" si="0"/>
        <v>Existe requerimiento pero se requiere actividades  dirigidas a su mantenimiento dentro del marco de las lineas de defensa.</v>
      </c>
      <c r="H41" s="18"/>
      <c r="I41" s="142">
        <f t="shared" si="1"/>
        <v>1</v>
      </c>
      <c r="J41" s="263">
        <f>+AVERAGE(I41:I45)</f>
        <v>1</v>
      </c>
    </row>
    <row r="42" spans="1:10" ht="41.4" x14ac:dyDescent="0.3">
      <c r="A42" s="1"/>
      <c r="B42" s="1"/>
      <c r="C42" s="141">
        <v>24</v>
      </c>
      <c r="D42" s="276"/>
      <c r="E42" s="127" t="str">
        <f>+IFERROR(INDEX(Hoja1!$E$2:$E$45,MATCH('Análisis Resultados'!C42,Hoja1!$H$2:$H$45,0)),"")</f>
        <v>Mecanismos de verificación de si se están o no mitigando los riesgos, o en su defecto, elaboración de planes de contingencia para subsanar sus consecuencias</v>
      </c>
      <c r="F42" s="128" t="str">
        <f>+IFERROR(VLOOKUP(C42,Hoja1!$H$2:$I$45,2,0),"")</f>
        <v>Si</v>
      </c>
      <c r="G42" s="129" t="str">
        <f t="shared" si="0"/>
        <v>Existe requerimiento pero se requiere actividades  dirigidas a su mantenimiento dentro del marco de las lineas de defensa.</v>
      </c>
      <c r="H42" s="18"/>
      <c r="I42" s="143">
        <f t="shared" si="1"/>
        <v>1</v>
      </c>
      <c r="J42" s="264"/>
    </row>
    <row r="43" spans="1:10" ht="85.5" customHeight="1" x14ac:dyDescent="0.3">
      <c r="A43" s="1"/>
      <c r="B43" s="1"/>
      <c r="C43" s="141">
        <v>25</v>
      </c>
      <c r="D43" s="276"/>
      <c r="E43" s="127" t="str">
        <f>+IFERROR(INDEX(Hoja1!$E$2:$E$45,MATCH('Análisis Resultados'!C43,Hoja1!$H$2:$H$45,0)),"")</f>
        <v>Planes, acciones o estrategias que permitan subsanar las consecuencias de la materialización de los riesgos, cuando se presentan</v>
      </c>
      <c r="F43" s="128" t="str">
        <f>+IFERROR(VLOOKUP(C43,Hoja1!$H$2:$I$45,2,0),"")</f>
        <v>Si</v>
      </c>
      <c r="G43" s="129" t="str">
        <f t="shared" si="0"/>
        <v>Existe requerimiento pero se requiere actividades  dirigidas a su mantenimiento dentro del marco de las lineas de defensa.</v>
      </c>
      <c r="H43" s="18"/>
      <c r="I43" s="143">
        <f t="shared" si="1"/>
        <v>1</v>
      </c>
      <c r="J43" s="264"/>
    </row>
    <row r="44" spans="1:10" ht="57" customHeight="1" x14ac:dyDescent="0.3">
      <c r="A44" s="1"/>
      <c r="B44" s="1"/>
      <c r="C44" s="141">
        <v>26</v>
      </c>
      <c r="D44" s="276"/>
      <c r="E44" s="127"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28" t="str">
        <f>+IFERROR(VLOOKUP(C44,Hoja1!$H$2:$I$45,2,0),"")</f>
        <v>Si</v>
      </c>
      <c r="G44" s="129" t="str">
        <f t="shared" si="0"/>
        <v>Existe requerimiento pero se requiere actividades  dirigidas a su mantenimiento dentro del marco de las lineas de defensa.</v>
      </c>
      <c r="H44" s="18"/>
      <c r="I44" s="143">
        <f t="shared" si="1"/>
        <v>1</v>
      </c>
      <c r="J44" s="264"/>
    </row>
    <row r="45" spans="1:10" ht="57" customHeight="1" thickBot="1" x14ac:dyDescent="0.35">
      <c r="A45" s="1"/>
      <c r="B45" s="1"/>
      <c r="C45" s="141">
        <v>27</v>
      </c>
      <c r="D45" s="277"/>
      <c r="E45" s="130" t="str">
        <f>+IFERROR(INDEX(Hoja1!$E$2:$E$45,MATCH('Análisis Resultados'!C45,Hoja1!$H$2:$H$45,0)),"")</f>
        <v>Un plan anticorrupción y de servicio al ciudadano con los temas que le aplican, publicado en algún medio para conocimiento de la ciudadanía</v>
      </c>
      <c r="F45" s="131" t="str">
        <f>+IFERROR(VLOOKUP(C45,Hoja1!$H$2:$I$45,2,0),"")</f>
        <v>Si</v>
      </c>
      <c r="G45" s="132" t="str">
        <f t="shared" si="0"/>
        <v>Existe requerimiento pero se requiere actividades  dirigidas a su mantenimiento dentro del marco de las lineas de defensa.</v>
      </c>
      <c r="H45" s="18"/>
      <c r="I45" s="144">
        <f t="shared" si="1"/>
        <v>1</v>
      </c>
      <c r="J45" s="278"/>
    </row>
    <row r="46" spans="1:10" ht="63.75" customHeight="1" x14ac:dyDescent="0.3">
      <c r="A46" s="1"/>
      <c r="B46" s="1"/>
      <c r="C46" s="141">
        <v>28</v>
      </c>
      <c r="D46" s="274" t="s">
        <v>87</v>
      </c>
      <c r="E46" s="136" t="str">
        <f>+IFERROR(INDEX(Hoja1!$E$2:$E$45,MATCH('Análisis Resultados'!C46,Hoja1!$H$2:$H$45,0)),"")</f>
        <v>Canales de comunicación con los ciudadanos</v>
      </c>
      <c r="F46" s="137" t="str">
        <f>+IFERROR(VLOOKUP(C46,Hoja1!$H$2:$I$45,2,0),"")</f>
        <v>En proceso</v>
      </c>
      <c r="G46" s="138" t="str">
        <f t="shared" si="0"/>
        <v>Se encuentra en proceso, pero requiere continuar con acciones dirigidas a contar con dicho aspecto de control.</v>
      </c>
      <c r="H46" s="18"/>
      <c r="I46" s="146">
        <f t="shared" si="1"/>
        <v>0.5</v>
      </c>
      <c r="J46" s="264">
        <f>+AVERAGE(I46:I52)</f>
        <v>0.7857142857142857</v>
      </c>
    </row>
    <row r="47" spans="1:10" ht="92.25" customHeight="1" x14ac:dyDescent="0.3">
      <c r="A47" s="1"/>
      <c r="B47" s="1"/>
      <c r="C47" s="141">
        <v>29</v>
      </c>
      <c r="D47" s="274"/>
      <c r="E47" s="127" t="str">
        <f>+IFERROR(INDEX(Hoja1!$E$2:$E$45,MATCH('Análisis Resultados'!C47,Hoja1!$H$2:$H$45,0)),"")</f>
        <v xml:space="preserve">Lineamientos para dar tratamiento a la información de carácter reservado </v>
      </c>
      <c r="F47" s="128" t="str">
        <f>+IFERROR(VLOOKUP(C47,Hoja1!$H$2:$I$45,2,0),"")</f>
        <v>En proceso</v>
      </c>
      <c r="G47" s="139" t="str">
        <f t="shared" si="0"/>
        <v>Se encuentra en proceso, pero requiere continuar con acciones dirigidas a contar con dicho aspecto de control.</v>
      </c>
      <c r="H47" s="18"/>
      <c r="I47" s="147">
        <f t="shared" si="1"/>
        <v>0.5</v>
      </c>
      <c r="J47" s="264"/>
    </row>
    <row r="48" spans="1:10" ht="66.75" customHeight="1" x14ac:dyDescent="0.3">
      <c r="A48" s="1"/>
      <c r="B48" s="1"/>
      <c r="C48" s="141">
        <v>30</v>
      </c>
      <c r="D48" s="274"/>
      <c r="E48" s="127" t="str">
        <f>+IFERROR(INDEX(Hoja1!$E$2:$E$45,MATCH('Análisis Resultados'!C48,Hoja1!$H$2:$H$45,0)),"")</f>
        <v>Si su capacidad e infraestructura lo permite, tecnologías de la información y las comunicaciones que soporten estos procesos</v>
      </c>
      <c r="F48" s="128" t="str">
        <f>+IFERROR(VLOOKUP(C48,Hoja1!$H$2:$I$45,2,0),"")</f>
        <v>En proceso</v>
      </c>
      <c r="G48" s="139" t="str">
        <f t="shared" si="0"/>
        <v>Se encuentra en proceso, pero requiere continuar con acciones dirigidas a contar con dicho aspecto de control.</v>
      </c>
      <c r="H48" s="18"/>
      <c r="I48" s="147">
        <f t="shared" si="1"/>
        <v>0.5</v>
      </c>
      <c r="J48" s="264"/>
    </row>
    <row r="49" spans="1:10" ht="60" customHeight="1" x14ac:dyDescent="0.3">
      <c r="A49" s="1"/>
      <c r="B49" s="1"/>
      <c r="C49" s="141">
        <v>31</v>
      </c>
      <c r="D49" s="274"/>
      <c r="E49" s="127" t="str">
        <f>+IFERROR(INDEX(Hoja1!$E$2:$E$45,MATCH('Análisis Resultados'!C49,Hoja1!$H$2:$H$45,0)),"")</f>
        <v>Responsables de la información institucional</v>
      </c>
      <c r="F49" s="128" t="str">
        <f>+IFERROR(VLOOKUP(C49,Hoja1!$H$2:$I$45,2,0),"")</f>
        <v>Si</v>
      </c>
      <c r="G49" s="139" t="str">
        <f t="shared" si="0"/>
        <v>Existe requerimiento pero se requiere actividades  dirigidas a su mantenimiento dentro del marco de las lineas de defensa.</v>
      </c>
      <c r="H49" s="18"/>
      <c r="I49" s="147">
        <f t="shared" si="1"/>
        <v>1</v>
      </c>
      <c r="J49" s="264"/>
    </row>
    <row r="50" spans="1:10" ht="57" customHeight="1" x14ac:dyDescent="0.3">
      <c r="A50" s="1"/>
      <c r="B50" s="1"/>
      <c r="C50" s="141">
        <v>32</v>
      </c>
      <c r="D50" s="274"/>
      <c r="E50" s="127" t="str">
        <f>+IFERROR(INDEX(Hoja1!$E$2:$E$45,MATCH('Análisis Resultados'!C50,Hoja1!$H$2:$H$45,0)),"")</f>
        <v>Canales de comunicación o mecanismos de reporte de información a otros organismos gubernamentales o de control</v>
      </c>
      <c r="F50" s="128" t="str">
        <f>+IFERROR(VLOOKUP(C50,Hoja1!$H$2:$I$45,2,0),"")</f>
        <v>Si</v>
      </c>
      <c r="G50" s="139" t="str">
        <f t="shared" si="0"/>
        <v>Existe requerimiento pero se requiere actividades  dirigidas a su mantenimiento dentro del marco de las lineas de defensa.</v>
      </c>
      <c r="H50" s="18"/>
      <c r="I50" s="147">
        <f t="shared" si="1"/>
        <v>1</v>
      </c>
      <c r="J50" s="264"/>
    </row>
    <row r="51" spans="1:10" ht="57" customHeight="1" x14ac:dyDescent="0.3">
      <c r="A51" s="1"/>
      <c r="B51" s="1"/>
      <c r="C51" s="141">
        <v>33</v>
      </c>
      <c r="D51" s="274"/>
      <c r="E51" s="127" t="str">
        <f>+IFERROR(INDEX(Hoja1!$E$2:$E$45,MATCH('Análisis Resultados'!C51,Hoja1!$H$2:$H$45,0)),"")</f>
        <v>Identificación de información que produce en el marco de su gestión (Para los ciudadanos, organismos de control, organismos gubernamentales, entre otros)</v>
      </c>
      <c r="F51" s="128" t="str">
        <f>+IFERROR(VLOOKUP(C51,Hoja1!$H$2:$I$45,2,0),"")</f>
        <v>Si</v>
      </c>
      <c r="G51" s="139" t="str">
        <f t="shared" si="0"/>
        <v>Existe requerimiento pero se requiere actividades  dirigidas a su mantenimiento dentro del marco de las lineas de defensa.</v>
      </c>
      <c r="H51" s="18"/>
      <c r="I51" s="147">
        <f t="shared" si="1"/>
        <v>1</v>
      </c>
      <c r="J51" s="264"/>
    </row>
    <row r="52" spans="1:10" ht="42" thickBot="1" x14ac:dyDescent="0.35">
      <c r="A52" s="1"/>
      <c r="B52" s="1"/>
      <c r="C52" s="141">
        <v>34</v>
      </c>
      <c r="D52" s="274"/>
      <c r="E52" s="133" t="str">
        <f>+IFERROR(INDEX(Hoja1!$E$2:$E$45,MATCH('Análisis Resultados'!C52,Hoja1!$H$2:$H$45,0)),"")</f>
        <v>Identificación de información necesaria para la operación de la entidad (normograma, presupuesto, talento humano, infraestructura física y tecnológica)</v>
      </c>
      <c r="F52" s="134" t="str">
        <f>+IFERROR(VLOOKUP(C52,Hoja1!$H$2:$I$45,2,0),"")</f>
        <v>Si</v>
      </c>
      <c r="G52" s="140" t="str">
        <f t="shared" si="0"/>
        <v>Existe requerimiento pero se requiere actividades  dirigidas a su mantenimiento dentro del marco de las lineas de defensa.</v>
      </c>
      <c r="H52" s="18"/>
      <c r="I52" s="148">
        <f t="shared" si="1"/>
        <v>1</v>
      </c>
      <c r="J52" s="264"/>
    </row>
    <row r="53" spans="1:10" ht="41.25" customHeight="1" x14ac:dyDescent="0.3">
      <c r="A53" s="1"/>
      <c r="B53" s="1"/>
      <c r="C53" s="141">
        <v>35</v>
      </c>
      <c r="D53" s="268" t="s">
        <v>97</v>
      </c>
      <c r="E53" s="124" t="str">
        <f>+IFERROR(INDEX(Hoja1!$E$2:$E$45,MATCH('Análisis Resultados'!C53,Hoja1!$H$2:$H$45,0)),"")</f>
        <v>Mecanismos de evaluación de la gestión (cronogramas, indicadores, listas de chequeo u otros)</v>
      </c>
      <c r="F53" s="125" t="str">
        <f>+IFERROR(VLOOKUP(C53,Hoja1!$H$2:$I$45,2,0),"")</f>
        <v>En proceso</v>
      </c>
      <c r="G53" s="126" t="str">
        <f t="shared" si="0"/>
        <v>Se encuentra en proceso, pero requiere continuar con acciones dirigidas a contar con dicho aspecto de control.</v>
      </c>
      <c r="H53" s="18"/>
      <c r="I53" s="142">
        <f t="shared" si="1"/>
        <v>0.5</v>
      </c>
      <c r="J53" s="271">
        <f>+AVERAGE(I53:I62)</f>
        <v>0.85</v>
      </c>
    </row>
    <row r="54" spans="1:10" ht="58.5" customHeight="1" x14ac:dyDescent="0.3">
      <c r="A54" s="1"/>
      <c r="B54" s="1"/>
      <c r="C54" s="141">
        <v>36</v>
      </c>
      <c r="D54" s="269"/>
      <c r="E54" s="127" t="str">
        <f>+IFERROR(INDEX(Hoja1!$E$2:$E$45,MATCH('Análisis Resultados'!C54,Hoja1!$H$2:$H$45,0)),"")</f>
        <v>Diseñar acciones adecuadas para controlar los problemas que afectan el cumplimiento de las metas y objetivos institucionales (riesgos).</v>
      </c>
      <c r="F54" s="128" t="str">
        <f>+IFERROR(VLOOKUP(C54,Hoja1!$H$2:$I$45,2,0),"")</f>
        <v>En proceso</v>
      </c>
      <c r="G54" s="129" t="str">
        <f t="shared" si="0"/>
        <v>Se encuentra en proceso, pero requiere continuar con acciones dirigidas a contar con dicho aspecto de control.</v>
      </c>
      <c r="H54" s="18"/>
      <c r="I54" s="143">
        <f t="shared" si="1"/>
        <v>0.5</v>
      </c>
      <c r="J54" s="272"/>
    </row>
    <row r="55" spans="1:10" s="1" customFormat="1" ht="84.75" customHeight="1" x14ac:dyDescent="0.3">
      <c r="C55" s="141">
        <v>37</v>
      </c>
      <c r="D55" s="269"/>
      <c r="E55" s="127" t="str">
        <f>+IFERROR(INDEX(Hoja1!$E$2:$E$45,MATCH('Análisis Resultados'!C55,Hoja1!$H$2:$H$45,0)),"")</f>
        <v>Ejecutar las acciones de acuerdo a como se diseñaron previamente.</v>
      </c>
      <c r="F55" s="128" t="str">
        <f>+IFERROR(VLOOKUP(C55,Hoja1!$H$2:$I$45,2,0),"")</f>
        <v>En proceso</v>
      </c>
      <c r="G55" s="129" t="str">
        <f t="shared" si="0"/>
        <v>Se encuentra en proceso, pero requiere continuar con acciones dirigidas a contar con dicho aspecto de control.</v>
      </c>
      <c r="H55" s="6"/>
      <c r="I55" s="143">
        <f t="shared" si="1"/>
        <v>0.5</v>
      </c>
      <c r="J55" s="272"/>
    </row>
    <row r="56" spans="1:10" s="1" customFormat="1" ht="78.75" customHeight="1" x14ac:dyDescent="0.3">
      <c r="C56" s="141">
        <v>38</v>
      </c>
      <c r="D56" s="269"/>
      <c r="E56" s="127" t="str">
        <f>+IFERROR(INDEX(Hoja1!$E$2:$E$45,MATCH('Análisis Resultados'!C56,Hoja1!$H$2:$H$45,0)),"")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6" s="128" t="str">
        <f>+IFERROR(VLOOKUP(C56,Hoja1!$H$2:$I$45,2,0),"")</f>
        <v>Si</v>
      </c>
      <c r="G56" s="129" t="str">
        <f t="shared" si="0"/>
        <v>Existe requerimiento pero se requiere actividades  dirigidas a su mantenimiento dentro del marco de las lineas de defensa.</v>
      </c>
      <c r="H56" s="6"/>
      <c r="I56" s="143">
        <f t="shared" si="1"/>
        <v>1</v>
      </c>
      <c r="J56" s="272"/>
    </row>
    <row r="57" spans="1:10" s="1" customFormat="1" ht="54.75" customHeight="1" x14ac:dyDescent="0.3">
      <c r="C57" s="141">
        <v>39</v>
      </c>
      <c r="D57" s="269"/>
      <c r="E57" s="127" t="str">
        <f>+IFERROR(INDEX(Hoja1!$E$2:$E$45,MATCH('Análisis Resultados'!C57,Hoja1!$H$2:$H$45,0)),"")</f>
        <v>Medidas correctivas en caso de detectarse deficiencias en los ejercicios de evaluación, seguimiento o auditoría</v>
      </c>
      <c r="F57" s="128" t="str">
        <f>+IFERROR(VLOOKUP(C57,Hoja1!$H$2:$I$45,2,0),"")</f>
        <v>Si</v>
      </c>
      <c r="G57" s="129" t="str">
        <f t="shared" si="0"/>
        <v>Existe requerimiento pero se requiere actividades  dirigidas a su mantenimiento dentro del marco de las lineas de defensa.</v>
      </c>
      <c r="H57" s="6"/>
      <c r="I57" s="143">
        <f t="shared" si="1"/>
        <v>1</v>
      </c>
      <c r="J57" s="272"/>
    </row>
    <row r="58" spans="1:10" s="1" customFormat="1" ht="68.25" customHeight="1" x14ac:dyDescent="0.3">
      <c r="C58" s="141">
        <v>40</v>
      </c>
      <c r="D58" s="269"/>
      <c r="E58" s="127" t="str">
        <f>+IFERROR(INDEX(Hoja1!$E$2:$E$45,MATCH('Análisis Resultados'!C58,Hoja1!$H$2:$H$45,0)),"")</f>
        <v>Seguimiento a los planes de mejoramiento suscritos con instancias de control internas o externas</v>
      </c>
      <c r="F58" s="128" t="str">
        <f>+IFERROR(VLOOKUP(C58,Hoja1!$H$2:$I$45,2,0),"")</f>
        <v>Si</v>
      </c>
      <c r="G58" s="129" t="str">
        <f t="shared" si="0"/>
        <v>Existe requerimiento pero se requiere actividades  dirigidas a su mantenimiento dentro del marco de las lineas de defensa.</v>
      </c>
      <c r="H58" s="6"/>
      <c r="I58" s="143">
        <f t="shared" si="1"/>
        <v>1</v>
      </c>
      <c r="J58" s="272"/>
    </row>
    <row r="59" spans="1:10" s="1" customFormat="1" ht="45" customHeight="1" x14ac:dyDescent="0.3">
      <c r="C59" s="141">
        <v>41</v>
      </c>
      <c r="D59" s="269"/>
      <c r="E59" s="127" t="str">
        <f>+IFERROR(INDEX(Hoja1!$E$2:$E$45,MATCH('Análisis Resultados'!C59,Hoja1!$H$2:$H$45,0)),"")</f>
        <v>La entidad participa en el  Comité Municipal de Auditoría?</v>
      </c>
      <c r="F59" s="128" t="str">
        <f>+IFERROR(VLOOKUP(C59,Hoja1!$H$2:$I$45,2,0),"")</f>
        <v>Si</v>
      </c>
      <c r="G59" s="129" t="str">
        <f t="shared" si="0"/>
        <v>Existe requerimiento pero se requiere actividades  dirigidas a su mantenimiento dentro del marco de las lineas de defensa.</v>
      </c>
      <c r="H59" s="6"/>
      <c r="I59" s="143">
        <f t="shared" si="1"/>
        <v>1</v>
      </c>
      <c r="J59" s="272"/>
    </row>
    <row r="60" spans="1:10" s="1" customFormat="1" ht="51.75" customHeight="1" x14ac:dyDescent="0.3">
      <c r="C60" s="141">
        <v>42</v>
      </c>
      <c r="D60" s="269"/>
      <c r="E60" s="127" t="str">
        <f>+IFERROR(INDEX(Hoja1!$E$2:$E$45,MATCH('Análisis Resultados'!C60,Hoja1!$H$2:$H$45,0)),"")</f>
        <v>Evitar que los problemas (riesgos) obstaculicen el cumplimiento de los objetivos.</v>
      </c>
      <c r="F60" s="128" t="str">
        <f>+IFERROR(VLOOKUP(C60,Hoja1!$H$2:$I$45,2,0),"")</f>
        <v>Si</v>
      </c>
      <c r="G60" s="129" t="str">
        <f t="shared" si="0"/>
        <v>Existe requerimiento pero se requiere actividades  dirigidas a su mantenimiento dentro del marco de las lineas de defensa.</v>
      </c>
      <c r="H60" s="6"/>
      <c r="I60" s="143">
        <f t="shared" si="1"/>
        <v>1</v>
      </c>
      <c r="J60" s="272"/>
    </row>
    <row r="61" spans="1:10" s="1" customFormat="1" ht="84" customHeight="1" x14ac:dyDescent="0.3">
      <c r="C61" s="141">
        <v>43</v>
      </c>
      <c r="D61" s="269"/>
      <c r="E61" s="127" t="str">
        <f>+IFERROR(INDEX(Hoja1!$E$2:$E$45,MATCH('Análisis Resultados'!C61,Hoja1!$H$2:$H$45,0)),"")</f>
        <v>Controlar los puntos críticos en los procesos.</v>
      </c>
      <c r="F61" s="128" t="str">
        <f>+IFERROR(VLOOKUP(C61,Hoja1!$H$2:$I$45,2,0),"")</f>
        <v>Si</v>
      </c>
      <c r="G61" s="129" t="str">
        <f t="shared" si="0"/>
        <v>Existe requerimiento pero se requiere actividades  dirigidas a su mantenimiento dentro del marco de las lineas de defensa.</v>
      </c>
      <c r="H61" s="6"/>
      <c r="I61" s="143">
        <f t="shared" si="1"/>
        <v>1</v>
      </c>
      <c r="J61" s="272"/>
    </row>
    <row r="62" spans="1:10" s="1" customFormat="1" ht="60" customHeight="1" thickBot="1" x14ac:dyDescent="0.35">
      <c r="C62" s="141">
        <v>44</v>
      </c>
      <c r="D62" s="270"/>
      <c r="E62" s="130" t="str">
        <f>+IFERROR(INDEX(Hoja1!$E$2:$E$45,MATCH('Análisis Resultados'!C62,Hoja1!$H$2:$H$45,0)),"")</f>
        <v>No se gestionan los problemas que afectan el cumplimiento de las funciones y objetivos institucionales(riesgos).</v>
      </c>
      <c r="F62" s="131" t="str">
        <f>+IFERROR(VLOOKUP(C62,Hoja1!$H$2:$I$45,2,0),"")</f>
        <v>Si</v>
      </c>
      <c r="G62" s="132" t="str">
        <f t="shared" si="0"/>
        <v>Existe requerimiento pero se requiere actividades  dirigidas a su mantenimiento dentro del marco de las lineas de defensa.</v>
      </c>
      <c r="H62" s="6"/>
      <c r="I62" s="144">
        <f t="shared" si="1"/>
        <v>1</v>
      </c>
      <c r="J62" s="273"/>
    </row>
    <row r="63" spans="1:10" s="1" customFormat="1" x14ac:dyDescent="0.3">
      <c r="H63" s="6"/>
    </row>
    <row r="64" spans="1:10" s="1" customFormat="1" x14ac:dyDescent="0.3">
      <c r="H64" s="6"/>
    </row>
    <row r="65" spans="1:2" s="1" customFormat="1" x14ac:dyDescent="0.3"/>
    <row r="66" spans="1:2" s="1" customFormat="1" x14ac:dyDescent="0.3"/>
    <row r="67" spans="1:2" s="1" customFormat="1" x14ac:dyDescent="0.3"/>
    <row r="68" spans="1:2" s="1" customFormat="1" x14ac:dyDescent="0.3"/>
    <row r="69" spans="1:2" s="1" customFormat="1" x14ac:dyDescent="0.3"/>
    <row r="70" spans="1:2" s="1" customFormat="1" x14ac:dyDescent="0.3"/>
    <row r="71" spans="1:2" x14ac:dyDescent="0.3">
      <c r="A71" s="1"/>
      <c r="B71" s="1"/>
    </row>
    <row r="72" spans="1:2" x14ac:dyDescent="0.3">
      <c r="A72" s="1"/>
      <c r="B72" s="1"/>
    </row>
    <row r="73" spans="1:2" x14ac:dyDescent="0.3">
      <c r="A73" s="1"/>
      <c r="B73" s="1"/>
    </row>
    <row r="74" spans="1:2" x14ac:dyDescent="0.3">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C7:K7"/>
    <mergeCell ref="C9:D9"/>
    <mergeCell ref="E9:F9"/>
    <mergeCell ref="C10:D10"/>
    <mergeCell ref="E10:F10"/>
    <mergeCell ref="C11:D11"/>
    <mergeCell ref="E11:F11"/>
    <mergeCell ref="J17:J18"/>
    <mergeCell ref="D19:D30"/>
    <mergeCell ref="C17:C18"/>
    <mergeCell ref="D17:E17"/>
    <mergeCell ref="F17:F18"/>
    <mergeCell ref="G17:G18"/>
    <mergeCell ref="I17:I18"/>
    <mergeCell ref="J31:J40"/>
    <mergeCell ref="C12:D12"/>
    <mergeCell ref="E12:F12"/>
    <mergeCell ref="J19:J30"/>
    <mergeCell ref="D53:D62"/>
    <mergeCell ref="J53:J62"/>
    <mergeCell ref="D46:D52"/>
    <mergeCell ref="J46:J52"/>
    <mergeCell ref="D41:D45"/>
    <mergeCell ref="J41:J45"/>
    <mergeCell ref="D31:D4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opLeftCell="A31" zoomScale="60" zoomScaleNormal="60" workbookViewId="0">
      <selection activeCell="F22" sqref="F22:M22"/>
    </sheetView>
  </sheetViews>
  <sheetFormatPr baseColWidth="10" defaultColWidth="11.44140625" defaultRowHeight="14.4" x14ac:dyDescent="0.3"/>
  <cols>
    <col min="1" max="1" width="4.44140625" customWidth="1"/>
    <col min="3" max="3" width="35.5546875" customWidth="1"/>
    <col min="4" max="4" width="13" customWidth="1"/>
    <col min="5" max="5" width="43.33203125" customWidth="1"/>
    <col min="7" max="7" width="33.88671875" customWidth="1"/>
    <col min="9" max="9" width="92.33203125" customWidth="1"/>
    <col min="13" max="13" width="29" customWidth="1"/>
  </cols>
  <sheetData>
    <row r="1" spans="1:17" s="1" customFormat="1" x14ac:dyDescent="0.3"/>
    <row r="2" spans="1:17" ht="15" thickBot="1" x14ac:dyDescent="0.35">
      <c r="A2" s="1"/>
      <c r="B2" s="1"/>
      <c r="C2" s="1"/>
      <c r="D2" s="1"/>
      <c r="E2" s="1"/>
      <c r="F2" s="1"/>
      <c r="G2" s="1"/>
      <c r="H2" s="1"/>
      <c r="I2" s="1"/>
      <c r="J2" s="1"/>
      <c r="K2" s="1"/>
      <c r="L2" s="1"/>
      <c r="M2" s="1"/>
      <c r="N2" s="1"/>
      <c r="O2" s="1"/>
      <c r="P2" s="1"/>
      <c r="Q2" s="1"/>
    </row>
    <row r="3" spans="1:17" ht="15" thickTop="1" x14ac:dyDescent="0.3">
      <c r="A3" s="1"/>
      <c r="B3" s="2"/>
      <c r="C3" s="3"/>
      <c r="D3" s="3"/>
      <c r="E3" s="3"/>
      <c r="F3" s="3"/>
      <c r="G3" s="3"/>
      <c r="H3" s="3"/>
      <c r="I3" s="3"/>
      <c r="J3" s="3"/>
      <c r="K3" s="3"/>
      <c r="L3" s="3"/>
      <c r="M3" s="3"/>
      <c r="N3" s="3"/>
      <c r="O3" s="3"/>
      <c r="P3" s="4"/>
      <c r="Q3" s="1"/>
    </row>
    <row r="4" spans="1:17" x14ac:dyDescent="0.3">
      <c r="A4" s="1"/>
      <c r="B4" s="5"/>
      <c r="C4" s="6"/>
      <c r="D4" s="6"/>
      <c r="E4" s="301" t="s">
        <v>124</v>
      </c>
      <c r="F4" s="303" t="s">
        <v>201</v>
      </c>
      <c r="G4" s="303"/>
      <c r="H4" s="303"/>
      <c r="I4" s="303"/>
      <c r="J4" s="303"/>
      <c r="K4" s="303"/>
      <c r="L4" s="303"/>
      <c r="M4" s="303"/>
      <c r="N4" s="7"/>
      <c r="O4" s="7"/>
      <c r="P4" s="8"/>
      <c r="Q4" s="1"/>
    </row>
    <row r="5" spans="1:17" ht="45.75" customHeight="1" x14ac:dyDescent="0.3">
      <c r="A5" s="1"/>
      <c r="B5" s="5"/>
      <c r="C5" s="6"/>
      <c r="D5" s="6"/>
      <c r="E5" s="302"/>
      <c r="F5" s="303"/>
      <c r="G5" s="303"/>
      <c r="H5" s="303"/>
      <c r="I5" s="303"/>
      <c r="J5" s="303"/>
      <c r="K5" s="303"/>
      <c r="L5" s="303"/>
      <c r="M5" s="303"/>
      <c r="N5" s="7"/>
      <c r="O5" s="7"/>
      <c r="P5" s="8"/>
      <c r="Q5" s="1"/>
    </row>
    <row r="6" spans="1:17" ht="66.75" customHeight="1" x14ac:dyDescent="0.3">
      <c r="A6" s="1"/>
      <c r="B6" s="5"/>
      <c r="C6" s="6"/>
      <c r="D6" s="6"/>
      <c r="E6" s="96" t="s">
        <v>125</v>
      </c>
      <c r="F6" s="304" t="s">
        <v>242</v>
      </c>
      <c r="G6" s="305"/>
      <c r="H6" s="305"/>
      <c r="I6" s="305"/>
      <c r="J6" s="305"/>
      <c r="K6" s="305"/>
      <c r="L6" s="305"/>
      <c r="M6" s="306"/>
      <c r="N6" s="9"/>
      <c r="O6" s="9"/>
      <c r="P6" s="8"/>
      <c r="Q6" s="1"/>
    </row>
    <row r="7" spans="1:17" ht="15" thickBot="1" x14ac:dyDescent="0.35">
      <c r="A7" s="1"/>
      <c r="B7" s="5"/>
      <c r="C7" s="6"/>
      <c r="D7" s="6"/>
      <c r="E7" s="10"/>
      <c r="F7" s="9"/>
      <c r="G7" s="9"/>
      <c r="H7" s="9"/>
      <c r="I7" s="9"/>
      <c r="J7" s="9"/>
      <c r="K7" s="9"/>
      <c r="L7" s="9"/>
      <c r="M7" s="6"/>
      <c r="N7" s="6"/>
      <c r="O7" s="6"/>
      <c r="P7" s="8"/>
      <c r="Q7" s="1"/>
    </row>
    <row r="8" spans="1:17" ht="97.5" customHeight="1" thickBot="1" x14ac:dyDescent="0.35">
      <c r="A8" s="1"/>
      <c r="B8" s="5"/>
      <c r="C8" s="6"/>
      <c r="D8" s="6"/>
      <c r="E8" s="6"/>
      <c r="F8" s="6"/>
      <c r="G8" s="6"/>
      <c r="H8" s="6"/>
      <c r="I8" s="307" t="s">
        <v>126</v>
      </c>
      <c r="J8" s="308"/>
      <c r="K8" s="309"/>
      <c r="L8" s="6"/>
      <c r="M8" s="149">
        <f>+AVERAGE(G26,G28,G30,G32,G34)</f>
        <v>0.91047619047619044</v>
      </c>
      <c r="N8" s="11"/>
      <c r="O8" s="11"/>
      <c r="P8" s="8"/>
      <c r="Q8" s="1"/>
    </row>
    <row r="9" spans="1:17" ht="15.6" x14ac:dyDescent="0.3">
      <c r="A9" s="1"/>
      <c r="B9" s="5"/>
      <c r="C9" s="6"/>
      <c r="D9" s="6"/>
      <c r="E9" s="6"/>
      <c r="F9" s="6"/>
      <c r="G9" s="6"/>
      <c r="H9" s="6"/>
      <c r="I9" s="6"/>
      <c r="J9" s="6"/>
      <c r="K9" s="6"/>
      <c r="L9" s="6"/>
      <c r="M9" s="12"/>
      <c r="N9" s="12"/>
      <c r="O9" s="12"/>
      <c r="P9" s="8"/>
      <c r="Q9" s="1"/>
    </row>
    <row r="10" spans="1:17" x14ac:dyDescent="0.3">
      <c r="A10" s="1"/>
      <c r="B10" s="5"/>
      <c r="C10" s="6"/>
      <c r="D10" s="6"/>
      <c r="E10" s="6"/>
      <c r="F10" s="6"/>
      <c r="G10" s="6"/>
      <c r="H10" s="6"/>
      <c r="I10" s="6"/>
      <c r="J10" s="6"/>
      <c r="K10" s="6"/>
      <c r="L10" s="6"/>
      <c r="M10" s="6"/>
      <c r="N10" s="6"/>
      <c r="O10" s="6"/>
      <c r="P10" s="8"/>
      <c r="Q10" s="1"/>
    </row>
    <row r="11" spans="1:17" x14ac:dyDescent="0.3">
      <c r="A11" s="1"/>
      <c r="B11" s="5"/>
      <c r="C11" s="6"/>
      <c r="D11" s="6"/>
      <c r="E11" s="6"/>
      <c r="F11" s="6"/>
      <c r="G11" s="6"/>
      <c r="H11" s="6"/>
      <c r="I11" s="6"/>
      <c r="J11" s="6"/>
      <c r="K11" s="6"/>
      <c r="L11" s="6"/>
      <c r="M11" s="6"/>
      <c r="N11" s="6"/>
      <c r="O11" s="6"/>
      <c r="P11" s="8"/>
      <c r="Q11" s="1"/>
    </row>
    <row r="12" spans="1:17" x14ac:dyDescent="0.3">
      <c r="A12" s="1"/>
      <c r="B12" s="5"/>
      <c r="C12" s="6"/>
      <c r="D12" s="6"/>
      <c r="E12" s="6"/>
      <c r="F12" s="6"/>
      <c r="G12" s="6"/>
      <c r="H12" s="6"/>
      <c r="I12" s="6"/>
      <c r="J12" s="6"/>
      <c r="K12" s="6"/>
      <c r="L12" s="6"/>
      <c r="M12" s="6"/>
      <c r="N12" s="6"/>
      <c r="O12" s="6"/>
      <c r="P12" s="8"/>
      <c r="Q12" s="1"/>
    </row>
    <row r="13" spans="1:17" x14ac:dyDescent="0.3">
      <c r="A13" s="1"/>
      <c r="B13" s="5"/>
      <c r="C13" s="6"/>
      <c r="D13" s="6"/>
      <c r="E13" s="6"/>
      <c r="F13" s="6"/>
      <c r="G13" s="6"/>
      <c r="H13" s="6"/>
      <c r="I13" s="6"/>
      <c r="J13" s="6"/>
      <c r="K13" s="6"/>
      <c r="L13" s="6"/>
      <c r="M13" s="6"/>
      <c r="N13" s="6"/>
      <c r="O13" s="6"/>
      <c r="P13" s="8"/>
      <c r="Q13" s="1"/>
    </row>
    <row r="14" spans="1:17" x14ac:dyDescent="0.3">
      <c r="A14" s="1"/>
      <c r="B14" s="5"/>
      <c r="C14" s="6"/>
      <c r="D14" s="6"/>
      <c r="E14" s="6"/>
      <c r="F14" s="6"/>
      <c r="G14" s="6"/>
      <c r="H14" s="6"/>
      <c r="I14" s="6"/>
      <c r="J14" s="6"/>
      <c r="K14" s="6"/>
      <c r="L14" s="6"/>
      <c r="M14" s="6"/>
      <c r="N14" s="6"/>
      <c r="O14" s="6"/>
      <c r="P14" s="8"/>
      <c r="Q14" s="1"/>
    </row>
    <row r="15" spans="1:17" x14ac:dyDescent="0.3">
      <c r="A15" s="1"/>
      <c r="B15" s="5"/>
      <c r="C15" s="6"/>
      <c r="D15" s="6"/>
      <c r="E15" s="6"/>
      <c r="F15" s="6"/>
      <c r="G15" s="6"/>
      <c r="H15" s="6"/>
      <c r="I15" s="6"/>
      <c r="J15" s="6"/>
      <c r="K15" s="6"/>
      <c r="L15" s="6"/>
      <c r="M15" s="6"/>
      <c r="N15" s="6"/>
      <c r="O15" s="6"/>
      <c r="P15" s="8"/>
      <c r="Q15" s="1"/>
    </row>
    <row r="16" spans="1:17" x14ac:dyDescent="0.3">
      <c r="A16" s="1"/>
      <c r="B16" s="5"/>
      <c r="C16" s="6"/>
      <c r="D16" s="6"/>
      <c r="E16" s="6"/>
      <c r="F16" s="6"/>
      <c r="G16" s="6"/>
      <c r="H16" s="6"/>
      <c r="I16" s="6"/>
      <c r="J16" s="6"/>
      <c r="K16" s="6"/>
      <c r="L16" s="6"/>
      <c r="M16" s="6"/>
      <c r="N16" s="6"/>
      <c r="O16" s="6"/>
      <c r="P16" s="8"/>
      <c r="Q16" s="1"/>
    </row>
    <row r="17" spans="1:17" x14ac:dyDescent="0.3">
      <c r="A17" s="1"/>
      <c r="B17" s="5"/>
      <c r="C17" s="6"/>
      <c r="D17" s="6"/>
      <c r="E17" s="6"/>
      <c r="F17" s="6"/>
      <c r="G17" s="6"/>
      <c r="H17" s="6"/>
      <c r="I17" s="6"/>
      <c r="J17" s="6"/>
      <c r="K17" s="6"/>
      <c r="L17" s="6"/>
      <c r="M17" s="6"/>
      <c r="N17" s="6"/>
      <c r="O17" s="6"/>
      <c r="P17" s="8"/>
      <c r="Q17" s="1"/>
    </row>
    <row r="18" spans="1:17" ht="22.8" x14ac:dyDescent="0.3">
      <c r="A18" s="1"/>
      <c r="B18" s="5"/>
      <c r="C18" s="310" t="s">
        <v>127</v>
      </c>
      <c r="D18" s="311"/>
      <c r="E18" s="311"/>
      <c r="F18" s="311"/>
      <c r="G18" s="311"/>
      <c r="H18" s="311"/>
      <c r="I18" s="311"/>
      <c r="J18" s="311"/>
      <c r="K18" s="311"/>
      <c r="L18" s="311"/>
      <c r="M18" s="312"/>
      <c r="N18" s="13"/>
      <c r="O18" s="13"/>
      <c r="P18" s="8"/>
      <c r="Q18" s="1"/>
    </row>
    <row r="19" spans="1:17" ht="16.2" thickBot="1" x14ac:dyDescent="0.35">
      <c r="A19" s="1"/>
      <c r="B19" s="5"/>
      <c r="C19" s="14"/>
      <c r="D19" s="14"/>
      <c r="E19" s="14"/>
      <c r="F19" s="14"/>
      <c r="G19" s="14"/>
      <c r="H19" s="14"/>
      <c r="I19" s="14"/>
      <c r="J19" s="14"/>
      <c r="K19" s="14"/>
      <c r="L19" s="14"/>
      <c r="M19" s="14"/>
      <c r="N19" s="15"/>
      <c r="O19" s="15"/>
      <c r="P19" s="8"/>
      <c r="Q19" s="1"/>
    </row>
    <row r="20" spans="1:17" ht="150" customHeight="1" x14ac:dyDescent="0.3">
      <c r="A20" s="1"/>
      <c r="B20" s="5"/>
      <c r="C20" s="313" t="s">
        <v>128</v>
      </c>
      <c r="D20" s="314"/>
      <c r="E20" s="161" t="s">
        <v>39</v>
      </c>
      <c r="F20" s="315" t="s">
        <v>243</v>
      </c>
      <c r="G20" s="315"/>
      <c r="H20" s="315"/>
      <c r="I20" s="315"/>
      <c r="J20" s="315"/>
      <c r="K20" s="315"/>
      <c r="L20" s="315"/>
      <c r="M20" s="316"/>
      <c r="N20" s="15"/>
      <c r="O20" s="15"/>
      <c r="P20" s="8"/>
      <c r="Q20" s="1"/>
    </row>
    <row r="21" spans="1:17" ht="126.75" customHeight="1" x14ac:dyDescent="0.3">
      <c r="A21" s="1"/>
      <c r="B21" s="5"/>
      <c r="C21" s="297" t="s">
        <v>129</v>
      </c>
      <c r="D21" s="298"/>
      <c r="E21" s="162" t="s">
        <v>39</v>
      </c>
      <c r="F21" s="317" t="s">
        <v>244</v>
      </c>
      <c r="G21" s="317"/>
      <c r="H21" s="317"/>
      <c r="I21" s="317"/>
      <c r="J21" s="317"/>
      <c r="K21" s="317"/>
      <c r="L21" s="317"/>
      <c r="M21" s="318"/>
      <c r="N21" s="15"/>
      <c r="O21" s="15"/>
      <c r="P21" s="8"/>
      <c r="Q21" s="1"/>
    </row>
    <row r="22" spans="1:17" ht="151.5" customHeight="1" thickBot="1" x14ac:dyDescent="0.35">
      <c r="A22" s="1"/>
      <c r="B22" s="5"/>
      <c r="C22" s="299" t="s">
        <v>130</v>
      </c>
      <c r="D22" s="300"/>
      <c r="E22" s="163" t="s">
        <v>39</v>
      </c>
      <c r="F22" s="319" t="s">
        <v>209</v>
      </c>
      <c r="G22" s="319"/>
      <c r="H22" s="319"/>
      <c r="I22" s="319"/>
      <c r="J22" s="319"/>
      <c r="K22" s="319"/>
      <c r="L22" s="319"/>
      <c r="M22" s="320"/>
      <c r="N22" s="15"/>
      <c r="O22" s="15"/>
      <c r="P22" s="8"/>
      <c r="Q22" s="1"/>
    </row>
    <row r="23" spans="1:17" x14ac:dyDescent="0.3">
      <c r="A23" s="1"/>
      <c r="B23" s="5"/>
      <c r="C23" s="6"/>
      <c r="D23" s="6"/>
      <c r="E23" s="6"/>
      <c r="F23" s="6"/>
      <c r="G23" s="16"/>
      <c r="H23" s="6"/>
      <c r="I23" s="6"/>
      <c r="J23" s="6"/>
      <c r="K23" s="6"/>
      <c r="L23" s="6"/>
      <c r="M23" s="6"/>
      <c r="N23" s="6"/>
      <c r="O23" s="6"/>
      <c r="P23" s="8"/>
      <c r="Q23" s="1"/>
    </row>
    <row r="24" spans="1:17" ht="73.8" x14ac:dyDescent="0.3">
      <c r="A24" s="1"/>
      <c r="B24" s="5"/>
      <c r="C24" s="99" t="s">
        <v>131</v>
      </c>
      <c r="D24" s="100"/>
      <c r="E24" s="99" t="s">
        <v>132</v>
      </c>
      <c r="F24" s="100"/>
      <c r="G24" s="99" t="s">
        <v>133</v>
      </c>
      <c r="H24" s="100"/>
      <c r="I24" s="326" t="s">
        <v>134</v>
      </c>
      <c r="J24" s="326"/>
      <c r="K24" s="326"/>
      <c r="L24" s="326"/>
      <c r="M24" s="326"/>
      <c r="N24" s="33"/>
      <c r="O24" s="33"/>
      <c r="P24" s="8"/>
      <c r="Q24" s="17"/>
    </row>
    <row r="25" spans="1:17" ht="13.5" customHeight="1" thickBot="1" x14ac:dyDescent="0.35">
      <c r="A25" s="1"/>
      <c r="B25" s="5"/>
      <c r="C25" s="32"/>
      <c r="D25" s="18"/>
      <c r="E25" s="18"/>
      <c r="F25" s="18"/>
      <c r="G25" s="18"/>
      <c r="H25" s="18"/>
      <c r="I25" s="330"/>
      <c r="J25" s="330"/>
      <c r="K25" s="330"/>
      <c r="L25" s="330"/>
      <c r="M25" s="330"/>
      <c r="N25" s="34"/>
      <c r="O25" s="34"/>
      <c r="P25" s="8"/>
      <c r="Q25" s="1"/>
    </row>
    <row r="26" spans="1:17" ht="155.25" customHeight="1" thickBot="1" x14ac:dyDescent="0.35">
      <c r="A26" s="1"/>
      <c r="B26" s="5"/>
      <c r="C26" s="90" t="s">
        <v>32</v>
      </c>
      <c r="D26" s="19"/>
      <c r="E26" s="150" t="str">
        <f>+IF(Hoja1!K2&gt;=0.5,"Si","No")</f>
        <v>Si</v>
      </c>
      <c r="F26" s="20"/>
      <c r="G26" s="151">
        <f>+Hoja1!K2</f>
        <v>0.91666666666666663</v>
      </c>
      <c r="H26" s="20"/>
      <c r="I26" s="327" t="s">
        <v>210</v>
      </c>
      <c r="J26" s="328"/>
      <c r="K26" s="328"/>
      <c r="L26" s="328"/>
      <c r="M26" s="329"/>
      <c r="N26" s="35"/>
      <c r="O26" s="36"/>
      <c r="P26" s="21"/>
      <c r="Q26" s="22"/>
    </row>
    <row r="27" spans="1:17" ht="26.4" thickBot="1" x14ac:dyDescent="0.55000000000000004">
      <c r="A27" s="1"/>
      <c r="B27" s="5"/>
      <c r="C27" s="91"/>
      <c r="D27" s="23"/>
      <c r="E27" s="98"/>
      <c r="F27" s="18"/>
      <c r="G27" s="24"/>
      <c r="H27" s="18"/>
      <c r="I27" s="331"/>
      <c r="J27" s="331"/>
      <c r="K27" s="331"/>
      <c r="L27" s="331"/>
      <c r="M27" s="331"/>
      <c r="N27" s="37"/>
      <c r="O27" s="37"/>
      <c r="P27" s="8"/>
      <c r="Q27" s="1"/>
    </row>
    <row r="28" spans="1:17" ht="153.75" customHeight="1" thickBot="1" x14ac:dyDescent="0.35">
      <c r="A28" s="1"/>
      <c r="B28" s="5"/>
      <c r="C28" s="92" t="s">
        <v>135</v>
      </c>
      <c r="D28" s="19"/>
      <c r="E28" s="150" t="str">
        <f>+IF(Hoja1!K14&gt;=0.5,"Si","No")</f>
        <v>Si</v>
      </c>
      <c r="F28" s="18"/>
      <c r="G28" s="151">
        <f>+Hoja1!K14</f>
        <v>1</v>
      </c>
      <c r="H28" s="18"/>
      <c r="I28" s="321" t="s">
        <v>211</v>
      </c>
      <c r="J28" s="322"/>
      <c r="K28" s="322"/>
      <c r="L28" s="322"/>
      <c r="M28" s="323"/>
      <c r="N28" s="35"/>
      <c r="O28" s="35"/>
      <c r="P28" s="8"/>
      <c r="Q28" s="1"/>
    </row>
    <row r="29" spans="1:17" ht="26.4" thickBot="1" x14ac:dyDescent="0.55000000000000004">
      <c r="A29" s="1"/>
      <c r="B29" s="5"/>
      <c r="C29" s="91"/>
      <c r="D29" s="23"/>
      <c r="E29" s="98"/>
      <c r="F29" s="18"/>
      <c r="G29" s="24"/>
      <c r="H29" s="18"/>
      <c r="I29" s="331"/>
      <c r="J29" s="331"/>
      <c r="K29" s="331"/>
      <c r="L29" s="331"/>
      <c r="M29" s="331"/>
      <c r="N29" s="37"/>
      <c r="O29" s="37"/>
      <c r="P29" s="8"/>
      <c r="Q29" s="1"/>
    </row>
    <row r="30" spans="1:17" ht="123" customHeight="1" thickBot="1" x14ac:dyDescent="0.35">
      <c r="A30" s="1"/>
      <c r="B30" s="5"/>
      <c r="C30" s="93" t="s">
        <v>136</v>
      </c>
      <c r="D30" s="19"/>
      <c r="E30" s="150" t="str">
        <f>+IF(Hoja1!K24&gt;=0.5,"Si","No")</f>
        <v>Si</v>
      </c>
      <c r="F30" s="18"/>
      <c r="G30" s="151">
        <f>+Hoja1!K24</f>
        <v>1</v>
      </c>
      <c r="H30" s="18"/>
      <c r="I30" s="321" t="s">
        <v>212</v>
      </c>
      <c r="J30" s="322"/>
      <c r="K30" s="322"/>
      <c r="L30" s="322"/>
      <c r="M30" s="323"/>
      <c r="N30" s="35"/>
      <c r="O30" s="35"/>
      <c r="P30" s="8"/>
      <c r="Q30" s="1"/>
    </row>
    <row r="31" spans="1:17" ht="26.4" thickBot="1" x14ac:dyDescent="0.55000000000000004">
      <c r="A31" s="1"/>
      <c r="B31" s="5"/>
      <c r="C31" s="91"/>
      <c r="D31" s="23"/>
      <c r="E31" s="98"/>
      <c r="F31" s="18"/>
      <c r="G31" s="24"/>
      <c r="H31" s="18"/>
      <c r="I31" s="331"/>
      <c r="J31" s="331"/>
      <c r="K31" s="331"/>
      <c r="L31" s="331"/>
      <c r="M31" s="331"/>
      <c r="N31" s="37"/>
      <c r="O31" s="37"/>
      <c r="P31" s="8"/>
      <c r="Q31" s="1"/>
    </row>
    <row r="32" spans="1:17" ht="171" customHeight="1" thickBot="1" x14ac:dyDescent="0.35">
      <c r="A32" s="1"/>
      <c r="B32" s="5"/>
      <c r="C32" s="94" t="s">
        <v>87</v>
      </c>
      <c r="D32" s="19"/>
      <c r="E32" s="150" t="str">
        <f>+IF(Hoja1!K29&gt;=0.5,"Si","No")</f>
        <v>Si</v>
      </c>
      <c r="F32" s="18"/>
      <c r="G32" s="151">
        <f>+Hoja1!K29</f>
        <v>0.7857142857142857</v>
      </c>
      <c r="H32" s="18"/>
      <c r="I32" s="321" t="s">
        <v>237</v>
      </c>
      <c r="J32" s="324"/>
      <c r="K32" s="324"/>
      <c r="L32" s="324"/>
      <c r="M32" s="325"/>
      <c r="N32" s="35"/>
      <c r="O32" s="35"/>
      <c r="P32" s="8"/>
      <c r="Q32" s="1"/>
    </row>
    <row r="33" spans="1:17" ht="26.4" thickBot="1" x14ac:dyDescent="0.55000000000000004">
      <c r="A33" s="1"/>
      <c r="B33" s="5"/>
      <c r="C33" s="91"/>
      <c r="D33" s="23"/>
      <c r="E33" s="98"/>
      <c r="F33" s="18"/>
      <c r="G33" s="24"/>
      <c r="H33" s="18"/>
      <c r="I33" s="331"/>
      <c r="J33" s="331"/>
      <c r="K33" s="331"/>
      <c r="L33" s="331"/>
      <c r="M33" s="331"/>
      <c r="N33" s="37"/>
      <c r="O33" s="37"/>
      <c r="P33" s="8"/>
      <c r="Q33" s="1"/>
    </row>
    <row r="34" spans="1:17" ht="164.25" customHeight="1" thickBot="1" x14ac:dyDescent="0.35">
      <c r="A34" s="1"/>
      <c r="B34" s="5"/>
      <c r="C34" s="95" t="s">
        <v>137</v>
      </c>
      <c r="D34" s="19"/>
      <c r="E34" s="97" t="str">
        <f>+IF(Hoja1!K36&gt;=0.5,"Si","No")</f>
        <v>Si</v>
      </c>
      <c r="F34" s="18"/>
      <c r="G34" s="151">
        <f>+Hoja1!K36</f>
        <v>0.85</v>
      </c>
      <c r="H34" s="18"/>
      <c r="I34" s="321" t="s">
        <v>213</v>
      </c>
      <c r="J34" s="322"/>
      <c r="K34" s="322"/>
      <c r="L34" s="322"/>
      <c r="M34" s="323"/>
      <c r="N34" s="35"/>
      <c r="O34" s="35"/>
      <c r="P34" s="8"/>
      <c r="Q34" s="1"/>
    </row>
    <row r="35" spans="1:17" ht="15.6" x14ac:dyDescent="0.3">
      <c r="A35" s="1"/>
      <c r="B35" s="5"/>
      <c r="C35" s="25"/>
      <c r="D35" s="25"/>
      <c r="E35" s="15"/>
      <c r="F35" s="6"/>
      <c r="G35" s="6"/>
      <c r="H35" s="6"/>
      <c r="I35" s="6"/>
      <c r="J35" s="6"/>
      <c r="K35" s="6"/>
      <c r="L35" s="6"/>
      <c r="M35" s="26"/>
      <c r="N35" s="26"/>
      <c r="O35" s="26"/>
      <c r="P35" s="8"/>
      <c r="Q35" s="1"/>
    </row>
    <row r="36" spans="1:17" ht="15.6" x14ac:dyDescent="0.3">
      <c r="A36" s="1"/>
      <c r="B36" s="5"/>
      <c r="C36" s="27"/>
      <c r="D36" s="25"/>
      <c r="E36" s="15"/>
      <c r="F36" s="6"/>
      <c r="G36" s="6"/>
      <c r="H36" s="6"/>
      <c r="I36" s="6"/>
      <c r="J36" s="6"/>
      <c r="K36" s="6"/>
      <c r="L36" s="6"/>
      <c r="M36" s="26"/>
      <c r="N36" s="26"/>
      <c r="O36" s="26"/>
      <c r="P36" s="8"/>
      <c r="Q36" s="1"/>
    </row>
    <row r="37" spans="1:17" x14ac:dyDescent="0.3">
      <c r="A37" s="1"/>
      <c r="B37" s="5"/>
      <c r="C37" s="28"/>
      <c r="D37" s="6"/>
      <c r="E37" s="6"/>
      <c r="F37" s="6"/>
      <c r="G37" s="6"/>
      <c r="H37" s="6"/>
      <c r="I37" s="6"/>
      <c r="J37" s="6"/>
      <c r="K37" s="6"/>
      <c r="L37" s="6"/>
      <c r="M37" s="6"/>
      <c r="N37" s="6"/>
      <c r="O37" s="6"/>
      <c r="P37" s="8"/>
      <c r="Q37" s="1"/>
    </row>
    <row r="38" spans="1:17" ht="15" thickBot="1" x14ac:dyDescent="0.35">
      <c r="A38" s="1"/>
      <c r="B38" s="29"/>
      <c r="C38" s="30"/>
      <c r="D38" s="30"/>
      <c r="E38" s="30"/>
      <c r="F38" s="30"/>
      <c r="G38" s="30"/>
      <c r="H38" s="30"/>
      <c r="I38" s="30"/>
      <c r="J38" s="30"/>
      <c r="K38" s="30"/>
      <c r="L38" s="30"/>
      <c r="M38" s="30"/>
      <c r="N38" s="30"/>
      <c r="O38" s="30"/>
      <c r="P38" s="31"/>
      <c r="Q38" s="1"/>
    </row>
    <row r="39" spans="1:17" ht="15" thickTop="1" x14ac:dyDescent="0.3">
      <c r="A39" s="1"/>
      <c r="B39" s="1"/>
      <c r="C39" s="1"/>
      <c r="D39" s="1"/>
      <c r="E39" s="1"/>
      <c r="F39" s="1"/>
      <c r="G39" s="1"/>
      <c r="H39" s="1"/>
      <c r="I39" s="1"/>
      <c r="J39" s="1"/>
      <c r="K39" s="1"/>
      <c r="L39" s="1"/>
      <c r="M39" s="1"/>
      <c r="N39" s="1"/>
      <c r="O39" s="1"/>
      <c r="P39" s="1"/>
      <c r="Q39" s="1"/>
    </row>
    <row r="40" spans="1:17" x14ac:dyDescent="0.3">
      <c r="A40" s="1"/>
      <c r="B40" s="1"/>
      <c r="C40" s="1"/>
      <c r="D40" s="1"/>
      <c r="E40" s="1"/>
      <c r="F40" s="1"/>
      <c r="G40" s="1"/>
      <c r="H40" s="1"/>
      <c r="I40" s="1"/>
      <c r="J40" s="1"/>
      <c r="K40" s="1"/>
      <c r="L40" s="1"/>
      <c r="M40" s="1"/>
      <c r="N40" s="1"/>
      <c r="O40" s="1"/>
      <c r="P40" s="1"/>
      <c r="Q40" s="1"/>
    </row>
    <row r="41" spans="1:17" x14ac:dyDescent="0.3">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I34:M34"/>
    <mergeCell ref="I30:M30"/>
    <mergeCell ref="I32:M32"/>
    <mergeCell ref="I24:M24"/>
    <mergeCell ref="I26:M26"/>
    <mergeCell ref="I28:M28"/>
    <mergeCell ref="I25:M25"/>
    <mergeCell ref="I27:M27"/>
    <mergeCell ref="I29:M29"/>
    <mergeCell ref="I31:M31"/>
    <mergeCell ref="I33:M33"/>
    <mergeCell ref="C21:D21"/>
    <mergeCell ref="C22:D22"/>
    <mergeCell ref="E4:E5"/>
    <mergeCell ref="F4:M5"/>
    <mergeCell ref="F6:M6"/>
    <mergeCell ref="I8:K8"/>
    <mergeCell ref="C18:M18"/>
    <mergeCell ref="C20:D20"/>
    <mergeCell ref="F20:M20"/>
    <mergeCell ref="F21:M21"/>
    <mergeCell ref="F22:M22"/>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F2" sqref="F2"/>
    </sheetView>
  </sheetViews>
  <sheetFormatPr baseColWidth="10" defaultColWidth="11.44140625" defaultRowHeight="14.4" x14ac:dyDescent="0.3"/>
  <cols>
    <col min="2" max="2" width="31" bestFit="1" customWidth="1"/>
    <col min="3" max="3" width="17.109375" customWidth="1"/>
    <col min="5" max="5" width="15.109375" customWidth="1"/>
    <col min="10" max="10" width="15.6640625" customWidth="1"/>
    <col min="11" max="11" width="12" bestFit="1" customWidth="1"/>
  </cols>
  <sheetData>
    <row r="1" spans="1:11" ht="84.75" customHeight="1" x14ac:dyDescent="0.3">
      <c r="A1" s="152" t="s">
        <v>25</v>
      </c>
      <c r="B1" s="152" t="s">
        <v>6</v>
      </c>
      <c r="C1" s="153" t="s">
        <v>8</v>
      </c>
      <c r="D1" s="154" t="s">
        <v>26</v>
      </c>
      <c r="E1" s="154" t="s">
        <v>27</v>
      </c>
      <c r="F1" s="154" t="s">
        <v>138</v>
      </c>
      <c r="G1" s="155" t="s">
        <v>139</v>
      </c>
      <c r="H1" s="155" t="s">
        <v>140</v>
      </c>
      <c r="I1" s="155" t="s">
        <v>119</v>
      </c>
      <c r="J1" s="155" t="s">
        <v>141</v>
      </c>
      <c r="K1" s="155" t="s">
        <v>142</v>
      </c>
    </row>
    <row r="2" spans="1:11" x14ac:dyDescent="0.3">
      <c r="A2" s="156" t="s">
        <v>143</v>
      </c>
      <c r="B2" s="156" t="str">
        <f>+VLOOKUP(A2,'Estado SCI'!$A$16:$C$59,3,0)</f>
        <v>AMBIENTE DE CONTROL</v>
      </c>
      <c r="C2" s="156" t="s">
        <v>33</v>
      </c>
      <c r="D2" s="156" t="s">
        <v>34</v>
      </c>
      <c r="E2" s="156" t="s">
        <v>35</v>
      </c>
      <c r="F2" s="156" t="str">
        <f>+VLOOKUP(A2,'Estado SCI'!$A$16:$I$59,9,0)</f>
        <v>Mantenimiento del control</v>
      </c>
      <c r="G2" s="156">
        <f>+VLOOKUP(A2,'Estado SCI'!$A$16:$L$59,12,0)</f>
        <v>20.123000000000001</v>
      </c>
      <c r="H2" s="156">
        <f t="shared" ref="H2:H45" si="0">+_xlfn.RANK.EQ(G2,$G$2:$G$45,1)</f>
        <v>2</v>
      </c>
      <c r="I2" s="156" t="str">
        <f>+IF(VLOOKUP(A2,'Estado SCI'!$A$16:$G$59,7,0)="","",VLOOKUP(A2,'Estado SCI'!$A$16:$G$59,7,0))</f>
        <v>Si</v>
      </c>
      <c r="J2" s="157">
        <f>+IF(I2="Si",1,IF(I2="En proceso",0.5,0))</f>
        <v>1</v>
      </c>
      <c r="K2" s="158">
        <f t="shared" ref="K2:K45" si="1">+AVERAGEIF($B$2:$B$45,B2,$J$2:$J$45)</f>
        <v>0.91666666666666663</v>
      </c>
    </row>
    <row r="3" spans="1:11" x14ac:dyDescent="0.3">
      <c r="A3" s="156" t="s">
        <v>144</v>
      </c>
      <c r="B3" s="156" t="s">
        <v>32</v>
      </c>
      <c r="C3" s="156" t="s">
        <v>33</v>
      </c>
      <c r="D3" s="156" t="s">
        <v>37</v>
      </c>
      <c r="E3" s="156" t="s">
        <v>38</v>
      </c>
      <c r="F3" s="156" t="str">
        <f>+VLOOKUP(A3,'Estado SCI'!$A$16:$I$59,9,0)</f>
        <v>Mantenimiento del control</v>
      </c>
      <c r="G3" s="156">
        <f>+VLOOKUP(A3,'Estado SCI'!$A$16:$L$59,12,0)</f>
        <v>20.1234</v>
      </c>
      <c r="H3" s="156">
        <f t="shared" si="0"/>
        <v>3</v>
      </c>
      <c r="I3" s="156" t="str">
        <f>+IF(VLOOKUP(A3,'Estado SCI'!$A$16:$G$59,7,0)="","",VLOOKUP(A3,'Estado SCI'!$A$16:$G$59,7,0))</f>
        <v>Si</v>
      </c>
      <c r="J3" s="157">
        <f t="shared" ref="J3:J45" si="2">+IF(I3="Si",1,IF(I3="En proceso",0.5,0))</f>
        <v>1</v>
      </c>
      <c r="K3" s="158">
        <f t="shared" si="1"/>
        <v>0.91666666666666663</v>
      </c>
    </row>
    <row r="4" spans="1:11" x14ac:dyDescent="0.3">
      <c r="A4" s="156" t="s">
        <v>145</v>
      </c>
      <c r="B4" s="156" t="s">
        <v>32</v>
      </c>
      <c r="C4" s="156" t="s">
        <v>33</v>
      </c>
      <c r="D4" s="156" t="s">
        <v>40</v>
      </c>
      <c r="E4" s="156" t="s">
        <v>41</v>
      </c>
      <c r="F4" s="156" t="str">
        <f>+VLOOKUP(A4,'Estado SCI'!$A$16:$I$59,9,0)</f>
        <v>Mantenimiento del control</v>
      </c>
      <c r="G4" s="156">
        <f>+VLOOKUP(A4,'Estado SCI'!$A$16:$L$59,12,0)</f>
        <v>20.123449999999998</v>
      </c>
      <c r="H4" s="156">
        <f t="shared" si="0"/>
        <v>4</v>
      </c>
      <c r="I4" s="156" t="str">
        <f>+IF(VLOOKUP(A4,'Estado SCI'!$A$16:$G$59,7,0)="","",VLOOKUP(A4,'Estado SCI'!$A$16:$G$59,7,0))</f>
        <v>Si</v>
      </c>
      <c r="J4" s="157">
        <f t="shared" si="2"/>
        <v>1</v>
      </c>
      <c r="K4" s="158">
        <f t="shared" si="1"/>
        <v>0.91666666666666663</v>
      </c>
    </row>
    <row r="5" spans="1:11" x14ac:dyDescent="0.3">
      <c r="A5" s="156" t="s">
        <v>146</v>
      </c>
      <c r="B5" s="156" t="s">
        <v>32</v>
      </c>
      <c r="C5" s="156" t="s">
        <v>33</v>
      </c>
      <c r="D5" s="156" t="s">
        <v>42</v>
      </c>
      <c r="E5" s="156" t="s">
        <v>43</v>
      </c>
      <c r="F5" s="156" t="str">
        <f>+VLOOKUP(A5,'Estado SCI'!$A$16:$I$59,9,0)</f>
        <v>Mantenimiento del control</v>
      </c>
      <c r="G5" s="156">
        <f>+VLOOKUP(A5,'Estado SCI'!$A$16:$L$59,12,0)</f>
        <v>20.123456000000001</v>
      </c>
      <c r="H5" s="156">
        <f t="shared" si="0"/>
        <v>5</v>
      </c>
      <c r="I5" s="156" t="str">
        <f>+IF(VLOOKUP(A5,'Estado SCI'!$A$16:$G$59,7,0)="","",VLOOKUP(A5,'Estado SCI'!$A$16:$G$59,7,0))</f>
        <v>Si</v>
      </c>
      <c r="J5" s="157">
        <f t="shared" si="2"/>
        <v>1</v>
      </c>
      <c r="K5" s="158">
        <f t="shared" si="1"/>
        <v>0.91666666666666663</v>
      </c>
    </row>
    <row r="6" spans="1:11" x14ac:dyDescent="0.3">
      <c r="A6" s="156" t="s">
        <v>147</v>
      </c>
      <c r="B6" s="156" t="s">
        <v>32</v>
      </c>
      <c r="C6" s="156" t="s">
        <v>33</v>
      </c>
      <c r="D6" s="156" t="s">
        <v>44</v>
      </c>
      <c r="E6" s="156" t="s">
        <v>45</v>
      </c>
      <c r="F6" s="156" t="str">
        <f>+VLOOKUP(A6,'Estado SCI'!$A$16:$I$59,9,0)</f>
        <v>Mantenimiento del control</v>
      </c>
      <c r="G6" s="156">
        <f>+VLOOKUP(A6,'Estado SCI'!$A$16:$L$59,12,0)</f>
        <v>20.123456780000001</v>
      </c>
      <c r="H6" s="156">
        <f t="shared" si="0"/>
        <v>6</v>
      </c>
      <c r="I6" s="156" t="str">
        <f>+IF(VLOOKUP(A6,'Estado SCI'!$A$16:$G$59,7,0)="","",VLOOKUP(A6,'Estado SCI'!$A$16:$G$59,7,0))</f>
        <v>Si</v>
      </c>
      <c r="J6" s="157">
        <f t="shared" si="2"/>
        <v>1</v>
      </c>
      <c r="K6" s="158">
        <f t="shared" si="1"/>
        <v>0.91666666666666663</v>
      </c>
    </row>
    <row r="7" spans="1:11" x14ac:dyDescent="0.3">
      <c r="A7" s="156" t="s">
        <v>148</v>
      </c>
      <c r="B7" s="156" t="s">
        <v>32</v>
      </c>
      <c r="C7" s="156" t="s">
        <v>33</v>
      </c>
      <c r="D7" s="156" t="s">
        <v>46</v>
      </c>
      <c r="E7" s="156" t="s">
        <v>47</v>
      </c>
      <c r="F7" s="156" t="str">
        <f>+VLOOKUP(A7,'Estado SCI'!$A$16:$I$59,9,0)</f>
        <v>Mantenimiento del control</v>
      </c>
      <c r="G7" s="156">
        <f>+VLOOKUP(A7,'Estado SCI'!$A$16:$L$59,12,0)</f>
        <v>20.123456788999999</v>
      </c>
      <c r="H7" s="156">
        <f t="shared" si="0"/>
        <v>7</v>
      </c>
      <c r="I7" s="156" t="str">
        <f>+IF(VLOOKUP(A7,'Estado SCI'!$A$16:$G$59,7,0)="","",VLOOKUP(A7,'Estado SCI'!$A$16:$G$59,7,0))</f>
        <v>Si</v>
      </c>
      <c r="J7" s="157">
        <f t="shared" si="2"/>
        <v>1</v>
      </c>
      <c r="K7" s="158">
        <f t="shared" si="1"/>
        <v>0.91666666666666663</v>
      </c>
    </row>
    <row r="8" spans="1:11" x14ac:dyDescent="0.3">
      <c r="A8" s="156" t="s">
        <v>149</v>
      </c>
      <c r="B8" s="156" t="s">
        <v>32</v>
      </c>
      <c r="C8" s="156" t="s">
        <v>33</v>
      </c>
      <c r="D8" s="156" t="s">
        <v>48</v>
      </c>
      <c r="E8" s="156" t="s">
        <v>49</v>
      </c>
      <c r="F8" s="156" t="str">
        <f>+VLOOKUP(A8,'Estado SCI'!$A$16:$I$59,9,0)</f>
        <v>Mantenimiento del control</v>
      </c>
      <c r="G8" s="156">
        <f>+VLOOKUP(A8,'Estado SCI'!$A$16:$L$59,12,0)</f>
        <v>20.1234567891</v>
      </c>
      <c r="H8" s="156">
        <f t="shared" si="0"/>
        <v>8</v>
      </c>
      <c r="I8" s="156" t="str">
        <f>+IF(VLOOKUP(A8,'Estado SCI'!$A$16:$G$59,7,0)="","",VLOOKUP(A8,'Estado SCI'!$A$16:$G$59,7,0))</f>
        <v>Si</v>
      </c>
      <c r="J8" s="157">
        <f t="shared" si="2"/>
        <v>1</v>
      </c>
      <c r="K8" s="158">
        <f t="shared" si="1"/>
        <v>0.91666666666666663</v>
      </c>
    </row>
    <row r="9" spans="1:11" x14ac:dyDescent="0.3">
      <c r="A9" s="156" t="s">
        <v>150</v>
      </c>
      <c r="B9" s="156" t="s">
        <v>32</v>
      </c>
      <c r="C9" s="156" t="s">
        <v>33</v>
      </c>
      <c r="D9" s="156" t="s">
        <v>50</v>
      </c>
      <c r="E9" s="156" t="s">
        <v>51</v>
      </c>
      <c r="F9" s="156" t="str">
        <f>+VLOOKUP(A9,'Estado SCI'!$A$16:$I$59,9,0)</f>
        <v>Mantenimiento del control</v>
      </c>
      <c r="G9" s="156">
        <f>+VLOOKUP(A9,'Estado SCI'!$A$16:$L$59,12,0)</f>
        <v>20.123456789119999</v>
      </c>
      <c r="H9" s="156">
        <f t="shared" si="0"/>
        <v>9</v>
      </c>
      <c r="I9" s="156" t="str">
        <f>+IF(VLOOKUP(A9,'Estado SCI'!$A$16:$G$59,7,0)="","",VLOOKUP(A9,'Estado SCI'!$A$16:$G$59,7,0))</f>
        <v>Si</v>
      </c>
      <c r="J9" s="157">
        <f t="shared" si="2"/>
        <v>1</v>
      </c>
      <c r="K9" s="158">
        <f t="shared" si="1"/>
        <v>0.91666666666666663</v>
      </c>
    </row>
    <row r="10" spans="1:11" x14ac:dyDescent="0.3">
      <c r="A10" s="156" t="s">
        <v>151</v>
      </c>
      <c r="B10" s="156" t="s">
        <v>32</v>
      </c>
      <c r="C10" s="156" t="s">
        <v>33</v>
      </c>
      <c r="D10" s="156" t="s">
        <v>52</v>
      </c>
      <c r="E10" s="156" t="s">
        <v>53</v>
      </c>
      <c r="F10" s="156" t="str">
        <f>+VLOOKUP(A10,'Estado SCI'!$A$16:$I$59,9,0)</f>
        <v>Deficiencia de control</v>
      </c>
      <c r="G10" s="156">
        <f>+VLOOKUP(A10,'Estado SCI'!$A$16:$L$59,12,0)</f>
        <v>0.123456789123</v>
      </c>
      <c r="H10" s="156">
        <f t="shared" si="0"/>
        <v>1</v>
      </c>
      <c r="I10" s="156" t="str">
        <f>+IF(VLOOKUP(A10,'Estado SCI'!$A$16:$G$59,7,0)="","",VLOOKUP(A10,'Estado SCI'!$A$16:$G$59,7,0))</f>
        <v>No</v>
      </c>
      <c r="J10" s="157">
        <f t="shared" si="2"/>
        <v>0</v>
      </c>
      <c r="K10" s="158">
        <f t="shared" si="1"/>
        <v>0.91666666666666663</v>
      </c>
    </row>
    <row r="11" spans="1:11" x14ac:dyDescent="0.3">
      <c r="A11" s="156" t="s">
        <v>152</v>
      </c>
      <c r="B11" s="156" t="s">
        <v>32</v>
      </c>
      <c r="C11" s="156" t="s">
        <v>33</v>
      </c>
      <c r="D11" s="156" t="s">
        <v>54</v>
      </c>
      <c r="E11" s="156" t="s">
        <v>55</v>
      </c>
      <c r="F11" s="156" t="str">
        <f>+VLOOKUP(A11,'Estado SCI'!$A$16:$I$59,9,0)</f>
        <v>Mantenimiento del control</v>
      </c>
      <c r="G11" s="156">
        <f>+VLOOKUP(A11,'Estado SCI'!$A$16:$L$59,12,0)</f>
        <v>20.123456789123399</v>
      </c>
      <c r="H11" s="156">
        <f t="shared" si="0"/>
        <v>10</v>
      </c>
      <c r="I11" s="156" t="str">
        <f>+IF(VLOOKUP(A11,'Estado SCI'!$A$16:$G$59,7,0)="","",VLOOKUP(A11,'Estado SCI'!$A$16:$G$59,7,0))</f>
        <v>Si</v>
      </c>
      <c r="J11" s="157">
        <f t="shared" si="2"/>
        <v>1</v>
      </c>
      <c r="K11" s="158">
        <f t="shared" si="1"/>
        <v>0.91666666666666663</v>
      </c>
    </row>
    <row r="12" spans="1:11" x14ac:dyDescent="0.3">
      <c r="A12" s="156" t="s">
        <v>153</v>
      </c>
      <c r="B12" s="156" t="s">
        <v>32</v>
      </c>
      <c r="C12" s="156" t="s">
        <v>33</v>
      </c>
      <c r="D12" s="156" t="s">
        <v>56</v>
      </c>
      <c r="E12" s="156" t="s">
        <v>57</v>
      </c>
      <c r="F12" s="156" t="str">
        <f>+VLOOKUP(A12,'Estado SCI'!$A$16:$I$59,9,0)</f>
        <v>Mantenimiento del control</v>
      </c>
      <c r="G12" s="156">
        <f>+VLOOKUP(A12,'Estado SCI'!$A$16:$L$59,12,0)</f>
        <v>20.123456789123448</v>
      </c>
      <c r="H12" s="156">
        <f t="shared" si="0"/>
        <v>11</v>
      </c>
      <c r="I12" s="156" t="str">
        <f>+IF(VLOOKUP(A12,'Estado SCI'!$A$16:$G$59,7,0)="","",VLOOKUP(A12,'Estado SCI'!$A$16:$G$59,7,0))</f>
        <v>Si</v>
      </c>
      <c r="J12" s="157">
        <f t="shared" si="2"/>
        <v>1</v>
      </c>
      <c r="K12" s="158">
        <f t="shared" si="1"/>
        <v>0.91666666666666663</v>
      </c>
    </row>
    <row r="13" spans="1:11" x14ac:dyDescent="0.3">
      <c r="A13" s="156" t="s">
        <v>154</v>
      </c>
      <c r="B13" s="156" t="s">
        <v>32</v>
      </c>
      <c r="C13" s="156" t="s">
        <v>33</v>
      </c>
      <c r="D13" s="156" t="s">
        <v>58</v>
      </c>
      <c r="E13" s="156" t="s">
        <v>59</v>
      </c>
      <c r="F13" s="156" t="str">
        <f>+VLOOKUP(A13,'Estado SCI'!$A$16:$I$59,9,0)</f>
        <v>Mantenimiento del control</v>
      </c>
      <c r="G13" s="156">
        <f>+VLOOKUP(A13,'Estado SCI'!$A$16:$L$59,12,0)</f>
        <v>20.123456789123455</v>
      </c>
      <c r="H13" s="156">
        <f t="shared" si="0"/>
        <v>12</v>
      </c>
      <c r="I13" s="156" t="str">
        <f>+IF(VLOOKUP(A13,'Estado SCI'!$A$16:$G$59,7,0)="","",VLOOKUP(A13,'Estado SCI'!$A$16:$G$59,7,0))</f>
        <v>Si</v>
      </c>
      <c r="J13" s="157">
        <f t="shared" si="2"/>
        <v>1</v>
      </c>
      <c r="K13" s="158">
        <f t="shared" si="1"/>
        <v>0.91666666666666663</v>
      </c>
    </row>
    <row r="14" spans="1:11" ht="15" customHeight="1" x14ac:dyDescent="0.3">
      <c r="A14" s="156" t="s">
        <v>155</v>
      </c>
      <c r="B14" s="156" t="str">
        <f>+VLOOKUP(A14,'Estado SCI'!$A$16:$C$59,3,0)</f>
        <v>EVALUACION DEL RIESGO</v>
      </c>
      <c r="C14" s="156" t="s">
        <v>62</v>
      </c>
      <c r="D14" s="156" t="s">
        <v>34</v>
      </c>
      <c r="E14" s="156" t="s">
        <v>156</v>
      </c>
      <c r="F14" s="156" t="str">
        <f>+VLOOKUP(A14,'Estado SCI'!$A$16:$I$59,9,0)</f>
        <v>Mantenimiento del control</v>
      </c>
      <c r="G14" s="156">
        <f>+VLOOKUP(A14,'Estado SCI'!$A$16:$L$59,12,0)</f>
        <v>40.229999999999997</v>
      </c>
      <c r="H14" s="156">
        <f t="shared" si="0"/>
        <v>13</v>
      </c>
      <c r="I14" s="156" t="str">
        <f>+IF(VLOOKUP(A14,'Estado SCI'!$A$16:$G$59,7,0)="","",VLOOKUP(A14,'Estado SCI'!$A$16:$G$59,7,0))</f>
        <v>Si</v>
      </c>
      <c r="J14" s="157">
        <f t="shared" si="2"/>
        <v>1</v>
      </c>
      <c r="K14" s="158">
        <f t="shared" si="1"/>
        <v>1</v>
      </c>
    </row>
    <row r="15" spans="1:11" ht="15" customHeight="1" x14ac:dyDescent="0.3">
      <c r="A15" s="156" t="s">
        <v>157</v>
      </c>
      <c r="B15" s="156" t="s">
        <v>61</v>
      </c>
      <c r="C15" s="156" t="s">
        <v>62</v>
      </c>
      <c r="D15" s="156" t="s">
        <v>37</v>
      </c>
      <c r="E15" s="156" t="s">
        <v>158</v>
      </c>
      <c r="F15" s="156" t="str">
        <f>+VLOOKUP(A15,'Estado SCI'!$A$16:$I$59,9,0)</f>
        <v>Mantenimiento del control</v>
      </c>
      <c r="G15" s="156">
        <f>+VLOOKUP(A15,'Estado SCI'!$A$16:$L$59,12,0)</f>
        <v>40.234000000000002</v>
      </c>
      <c r="H15" s="156">
        <f t="shared" si="0"/>
        <v>14</v>
      </c>
      <c r="I15" s="156" t="str">
        <f>+IF(VLOOKUP(A15,'Estado SCI'!$A$16:$G$59,7,0)="","",VLOOKUP(A15,'Estado SCI'!$A$16:$G$59,7,0))</f>
        <v>Si</v>
      </c>
      <c r="J15" s="157">
        <f t="shared" si="2"/>
        <v>1</v>
      </c>
      <c r="K15" s="158">
        <f t="shared" si="1"/>
        <v>1</v>
      </c>
    </row>
    <row r="16" spans="1:11" ht="15" customHeight="1" x14ac:dyDescent="0.3">
      <c r="A16" s="156" t="s">
        <v>159</v>
      </c>
      <c r="B16" s="156" t="s">
        <v>61</v>
      </c>
      <c r="C16" s="156" t="s">
        <v>62</v>
      </c>
      <c r="D16" s="156" t="s">
        <v>40</v>
      </c>
      <c r="E16" s="156" t="s">
        <v>160</v>
      </c>
      <c r="F16" s="156" t="str">
        <f>+VLOOKUP(A16,'Estado SCI'!$A$16:$I$59,9,0)</f>
        <v>Mantenimiento del control</v>
      </c>
      <c r="G16" s="156">
        <f>+VLOOKUP(A16,'Estado SCI'!$A$16:$L$59,12,0)</f>
        <v>40.234499999999997</v>
      </c>
      <c r="H16" s="156">
        <f t="shared" si="0"/>
        <v>15</v>
      </c>
      <c r="I16" s="156" t="str">
        <f>+IF(VLOOKUP(A16,'Estado SCI'!$A$16:$G$59,7,0)="","",VLOOKUP(A16,'Estado SCI'!$A$16:$G$59,7,0))</f>
        <v>Si</v>
      </c>
      <c r="J16" s="157">
        <f t="shared" si="2"/>
        <v>1</v>
      </c>
      <c r="K16" s="158">
        <f t="shared" si="1"/>
        <v>1</v>
      </c>
    </row>
    <row r="17" spans="1:11" ht="15.75" customHeight="1" x14ac:dyDescent="0.3">
      <c r="A17" s="156" t="s">
        <v>161</v>
      </c>
      <c r="B17" s="156" t="s">
        <v>61</v>
      </c>
      <c r="C17" s="156" t="s">
        <v>62</v>
      </c>
      <c r="D17" s="156" t="s">
        <v>42</v>
      </c>
      <c r="E17" s="156" t="s">
        <v>66</v>
      </c>
      <c r="F17" s="156" t="str">
        <f>+VLOOKUP(A17,'Estado SCI'!$A$16:$I$59,9,0)</f>
        <v>Mantenimiento del control</v>
      </c>
      <c r="G17" s="156">
        <f>+VLOOKUP(A17,'Estado SCI'!$A$16:$L$59,12,0)</f>
        <v>40.234560000000002</v>
      </c>
      <c r="H17" s="156">
        <f t="shared" si="0"/>
        <v>16</v>
      </c>
      <c r="I17" s="156" t="str">
        <f>+IF(VLOOKUP(A17,'Estado SCI'!$A$16:$G$59,7,0)="","",VLOOKUP(A17,'Estado SCI'!$A$16:$G$59,7,0))</f>
        <v>Si</v>
      </c>
      <c r="J17" s="157">
        <f t="shared" si="2"/>
        <v>1</v>
      </c>
      <c r="K17" s="158">
        <f t="shared" si="1"/>
        <v>1</v>
      </c>
    </row>
    <row r="18" spans="1:11" ht="15" customHeight="1" x14ac:dyDescent="0.3">
      <c r="A18" s="156" t="s">
        <v>162</v>
      </c>
      <c r="B18" s="156" t="s">
        <v>61</v>
      </c>
      <c r="C18" s="156" t="s">
        <v>80</v>
      </c>
      <c r="D18" s="156" t="s">
        <v>34</v>
      </c>
      <c r="E18" s="156" t="s">
        <v>69</v>
      </c>
      <c r="F18" s="156" t="str">
        <f>+VLOOKUP(A18,'Estado SCI'!$A$16:$I$59,9,0)</f>
        <v>Mantenimiento del control</v>
      </c>
      <c r="G18" s="156">
        <f>+VLOOKUP(A18,'Estado SCI'!$A$16:$L$59,12,0)</f>
        <v>40.234566999999998</v>
      </c>
      <c r="H18" s="156">
        <f t="shared" si="0"/>
        <v>17</v>
      </c>
      <c r="I18" s="156" t="str">
        <f>+IF(VLOOKUP(A18,'Estado SCI'!$A$16:$G$59,7,0)="","",VLOOKUP(A18,'Estado SCI'!$A$16:$G$59,7,0))</f>
        <v>Si</v>
      </c>
      <c r="J18" s="157">
        <f t="shared" si="2"/>
        <v>1</v>
      </c>
      <c r="K18" s="158">
        <f t="shared" si="1"/>
        <v>1</v>
      </c>
    </row>
    <row r="19" spans="1:11" ht="15" customHeight="1" x14ac:dyDescent="0.3">
      <c r="A19" s="156" t="s">
        <v>163</v>
      </c>
      <c r="B19" s="156" t="s">
        <v>61</v>
      </c>
      <c r="C19" s="156" t="s">
        <v>80</v>
      </c>
      <c r="D19" s="156" t="s">
        <v>37</v>
      </c>
      <c r="E19" s="156" t="s">
        <v>70</v>
      </c>
      <c r="F19" s="156" t="str">
        <f>+VLOOKUP(A19,'Estado SCI'!$A$16:$I$59,9,0)</f>
        <v>Mantenimiento del control</v>
      </c>
      <c r="G19" s="156">
        <f>+VLOOKUP(A19,'Estado SCI'!$A$16:$L$59,12,0)</f>
        <v>40.234567800000001</v>
      </c>
      <c r="H19" s="156">
        <f t="shared" si="0"/>
        <v>18</v>
      </c>
      <c r="I19" s="156" t="str">
        <f>+IF(VLOOKUP(A19,'Estado SCI'!$A$16:$G$59,7,0)="","",VLOOKUP(A19,'Estado SCI'!$A$16:$G$59,7,0))</f>
        <v>Si</v>
      </c>
      <c r="J19" s="157">
        <f t="shared" si="2"/>
        <v>1</v>
      </c>
      <c r="K19" s="158">
        <f t="shared" si="1"/>
        <v>1</v>
      </c>
    </row>
    <row r="20" spans="1:11" ht="15" customHeight="1" x14ac:dyDescent="0.3">
      <c r="A20" s="156" t="s">
        <v>164</v>
      </c>
      <c r="B20" s="156" t="s">
        <v>61</v>
      </c>
      <c r="C20" s="156" t="s">
        <v>80</v>
      </c>
      <c r="D20" s="156" t="s">
        <v>40</v>
      </c>
      <c r="E20" s="156" t="s">
        <v>71</v>
      </c>
      <c r="F20" s="156" t="str">
        <f>+VLOOKUP(A20,'Estado SCI'!$A$16:$I$59,9,0)</f>
        <v>Mantenimiento del control</v>
      </c>
      <c r="G20" s="156">
        <f>+VLOOKUP(A20,'Estado SCI'!$A$16:$L$59,12,0)</f>
        <v>40.234567890000001</v>
      </c>
      <c r="H20" s="156">
        <f t="shared" si="0"/>
        <v>19</v>
      </c>
      <c r="I20" s="156" t="str">
        <f>+IF(VLOOKUP(A20,'Estado SCI'!$A$16:$G$59,7,0)="","",VLOOKUP(A20,'Estado SCI'!$A$16:$G$59,7,0))</f>
        <v>Si</v>
      </c>
      <c r="J20" s="157">
        <f t="shared" si="2"/>
        <v>1</v>
      </c>
      <c r="K20" s="158">
        <f t="shared" si="1"/>
        <v>1</v>
      </c>
    </row>
    <row r="21" spans="1:11" ht="15.75" customHeight="1" x14ac:dyDescent="0.3">
      <c r="A21" s="156" t="s">
        <v>165</v>
      </c>
      <c r="B21" s="156" t="s">
        <v>61</v>
      </c>
      <c r="C21" s="156" t="s">
        <v>80</v>
      </c>
      <c r="D21" s="156" t="s">
        <v>34</v>
      </c>
      <c r="E21" s="156" t="s">
        <v>74</v>
      </c>
      <c r="F21" s="156" t="str">
        <f>+VLOOKUP(A21,'Estado SCI'!$A$16:$I$59,9,0)</f>
        <v>Mantenimiento del control</v>
      </c>
      <c r="G21" s="156">
        <f>+VLOOKUP(A21,'Estado SCI'!$A$16:$L$59,12,0)</f>
        <v>40.234567891200001</v>
      </c>
      <c r="H21" s="156">
        <f t="shared" si="0"/>
        <v>20</v>
      </c>
      <c r="I21" s="156" t="str">
        <f>+IF(VLOOKUP(A21,'Estado SCI'!$A$16:$G$59,7,0)="","",VLOOKUP(A21,'Estado SCI'!$A$16:$G$59,7,0))</f>
        <v>Si</v>
      </c>
      <c r="J21" s="157">
        <f t="shared" si="2"/>
        <v>1</v>
      </c>
      <c r="K21" s="158">
        <f t="shared" si="1"/>
        <v>1</v>
      </c>
    </row>
    <row r="22" spans="1:11" ht="15" customHeight="1" x14ac:dyDescent="0.3">
      <c r="A22" s="156" t="s">
        <v>166</v>
      </c>
      <c r="B22" s="156" t="s">
        <v>61</v>
      </c>
      <c r="C22" s="156" t="s">
        <v>88</v>
      </c>
      <c r="D22" s="156" t="s">
        <v>37</v>
      </c>
      <c r="E22" s="156" t="s">
        <v>75</v>
      </c>
      <c r="F22" s="156" t="str">
        <f>+VLOOKUP(A22,'Estado SCI'!$A$16:$I$59,9,0)</f>
        <v>Mantenimiento del control</v>
      </c>
      <c r="G22" s="156">
        <f>+VLOOKUP(A22,'Estado SCI'!$A$16:$L$59,12,0)</f>
        <v>40.23456789123</v>
      </c>
      <c r="H22" s="156">
        <f t="shared" si="0"/>
        <v>21</v>
      </c>
      <c r="I22" s="156" t="str">
        <f>+IF(VLOOKUP(A22,'Estado SCI'!$A$16:$G$59,7,0)="","",VLOOKUP(A22,'Estado SCI'!$A$16:$G$59,7,0))</f>
        <v>Si</v>
      </c>
      <c r="J22" s="157">
        <f t="shared" si="2"/>
        <v>1</v>
      </c>
      <c r="K22" s="158">
        <f t="shared" si="1"/>
        <v>1</v>
      </c>
    </row>
    <row r="23" spans="1:11" ht="15" customHeight="1" x14ac:dyDescent="0.3">
      <c r="A23" s="156" t="s">
        <v>167</v>
      </c>
      <c r="B23" s="156" t="s">
        <v>61</v>
      </c>
      <c r="C23" s="156" t="s">
        <v>88</v>
      </c>
      <c r="D23" s="156" t="s">
        <v>40</v>
      </c>
      <c r="E23" s="156" t="s">
        <v>77</v>
      </c>
      <c r="F23" s="156" t="str">
        <f>+VLOOKUP(A23,'Estado SCI'!$A$16:$I$59,9,0)</f>
        <v>Mantenimiento del control</v>
      </c>
      <c r="G23" s="156">
        <f>+VLOOKUP(A23,'Estado SCI'!$A$16:$L$59,12,0)</f>
        <v>40.234567891234001</v>
      </c>
      <c r="H23" s="156">
        <f t="shared" si="0"/>
        <v>22</v>
      </c>
      <c r="I23" s="156" t="str">
        <f>+IF(VLOOKUP(A23,'Estado SCI'!$A$16:$G$59,7,0)="","",VLOOKUP(A23,'Estado SCI'!$A$16:$G$59,7,0))</f>
        <v>Si</v>
      </c>
      <c r="J23" s="157">
        <f t="shared" si="2"/>
        <v>1</v>
      </c>
      <c r="K23" s="158">
        <f t="shared" si="1"/>
        <v>1</v>
      </c>
    </row>
    <row r="24" spans="1:11" ht="15" customHeight="1" x14ac:dyDescent="0.3">
      <c r="A24" s="156" t="s">
        <v>168</v>
      </c>
      <c r="B24" s="156" t="str">
        <f>+VLOOKUP(A24,'Estado SCI'!$A$16:$C$59,3,0)</f>
        <v>ACTIVIDADES DE CONTROL</v>
      </c>
      <c r="C24" s="156" t="s">
        <v>88</v>
      </c>
      <c r="D24" s="156" t="s">
        <v>34</v>
      </c>
      <c r="E24" s="156" t="s">
        <v>81</v>
      </c>
      <c r="F24" s="156" t="str">
        <f>+VLOOKUP(A24,'Estado SCI'!$A$16:$I$59,9,0)</f>
        <v>Mantenimiento del control</v>
      </c>
      <c r="G24" s="156">
        <f>+VLOOKUP(A24,'Estado SCI'!$A$16:$L$59,12,0)</f>
        <v>60.31</v>
      </c>
      <c r="H24" s="156">
        <f t="shared" si="0"/>
        <v>23</v>
      </c>
      <c r="I24" s="156" t="str">
        <f>+IF(VLOOKUP(A24,'Estado SCI'!$A$16:$G$59,7,0)="","",VLOOKUP(A24,'Estado SCI'!$A$16:$G$59,7,0))</f>
        <v>Si</v>
      </c>
      <c r="J24" s="157">
        <f t="shared" si="2"/>
        <v>1</v>
      </c>
      <c r="K24" s="158">
        <f t="shared" si="1"/>
        <v>1</v>
      </c>
    </row>
    <row r="25" spans="1:11" ht="15" customHeight="1" x14ac:dyDescent="0.3">
      <c r="A25" s="156" t="s">
        <v>169</v>
      </c>
      <c r="B25" s="156" t="s">
        <v>79</v>
      </c>
      <c r="C25" s="156" t="s">
        <v>88</v>
      </c>
      <c r="D25" s="156" t="s">
        <v>37</v>
      </c>
      <c r="E25" s="156" t="s">
        <v>82</v>
      </c>
      <c r="F25" s="156" t="str">
        <f>+VLOOKUP(A25,'Estado SCI'!$A$16:$I$59,9,0)</f>
        <v>Mantenimiento del control</v>
      </c>
      <c r="G25" s="156">
        <f>+VLOOKUP(A25,'Estado SCI'!$A$16:$L$59,12,0)</f>
        <v>60.323</v>
      </c>
      <c r="H25" s="156">
        <f t="shared" si="0"/>
        <v>24</v>
      </c>
      <c r="I25" s="156" t="str">
        <f>+IF(VLOOKUP(A25,'Estado SCI'!$A$16:$G$59,7,0)="","",VLOOKUP(A25,'Estado SCI'!$A$16:$G$59,7,0))</f>
        <v>Si</v>
      </c>
      <c r="J25" s="157">
        <f t="shared" si="2"/>
        <v>1</v>
      </c>
      <c r="K25" s="158">
        <f t="shared" si="1"/>
        <v>1</v>
      </c>
    </row>
    <row r="26" spans="1:11" ht="15" customHeight="1" x14ac:dyDescent="0.3">
      <c r="A26" s="156" t="s">
        <v>170</v>
      </c>
      <c r="B26" s="156" t="s">
        <v>79</v>
      </c>
      <c r="C26" s="156" t="s">
        <v>88</v>
      </c>
      <c r="D26" s="156" t="s">
        <v>40</v>
      </c>
      <c r="E26" s="156" t="s">
        <v>83</v>
      </c>
      <c r="F26" s="156" t="str">
        <f>+VLOOKUP(A26,'Estado SCI'!$A$16:$I$59,9,0)</f>
        <v>Mantenimiento del control</v>
      </c>
      <c r="G26" s="156">
        <f>+VLOOKUP(A26,'Estado SCI'!$A$16:$L$59,12,0)</f>
        <v>60.323999999999998</v>
      </c>
      <c r="H26" s="156">
        <f t="shared" si="0"/>
        <v>25</v>
      </c>
      <c r="I26" s="156" t="str">
        <f>+IF(VLOOKUP(A26,'Estado SCI'!$A$16:$G$59,7,0)="","",VLOOKUP(A26,'Estado SCI'!$A$16:$G$59,7,0))</f>
        <v>Si</v>
      </c>
      <c r="J26" s="157">
        <f t="shared" si="2"/>
        <v>1</v>
      </c>
      <c r="K26" s="158">
        <f t="shared" si="1"/>
        <v>1</v>
      </c>
    </row>
    <row r="27" spans="1:11" ht="15.75" customHeight="1" x14ac:dyDescent="0.3">
      <c r="A27" s="156" t="s">
        <v>171</v>
      </c>
      <c r="B27" s="156" t="s">
        <v>79</v>
      </c>
      <c r="C27" s="156" t="s">
        <v>88</v>
      </c>
      <c r="D27" s="156" t="s">
        <v>42</v>
      </c>
      <c r="E27" s="156" t="s">
        <v>84</v>
      </c>
      <c r="F27" s="156" t="str">
        <f>+VLOOKUP(A27,'Estado SCI'!$A$16:$I$59,9,0)</f>
        <v>Mantenimiento del control</v>
      </c>
      <c r="G27" s="156">
        <f>+VLOOKUP(A27,'Estado SCI'!$A$16:$L$59,12,0)</f>
        <v>60.325000000000003</v>
      </c>
      <c r="H27" s="156">
        <f t="shared" si="0"/>
        <v>26</v>
      </c>
      <c r="I27" s="156" t="str">
        <f>+IF(VLOOKUP(A27,'Estado SCI'!$A$16:$G$59,7,0)="","",VLOOKUP(A27,'Estado SCI'!$A$16:$G$59,7,0))</f>
        <v>Si</v>
      </c>
      <c r="J27" s="157">
        <f t="shared" si="2"/>
        <v>1</v>
      </c>
      <c r="K27" s="158">
        <f t="shared" si="1"/>
        <v>1</v>
      </c>
    </row>
    <row r="28" spans="1:11" ht="15" customHeight="1" x14ac:dyDescent="0.3">
      <c r="A28" s="156" t="s">
        <v>172</v>
      </c>
      <c r="B28" s="156" t="s">
        <v>79</v>
      </c>
      <c r="C28" s="156" t="s">
        <v>98</v>
      </c>
      <c r="D28" s="156" t="s">
        <v>44</v>
      </c>
      <c r="E28" s="156" t="s">
        <v>85</v>
      </c>
      <c r="F28" s="156" t="str">
        <f>+VLOOKUP(A28,'Estado SCI'!$A$16:$I$59,9,0)</f>
        <v>Mantenimiento del control</v>
      </c>
      <c r="G28" s="156">
        <f>+VLOOKUP(A28,'Estado SCI'!$A$16:$L$59,12,0)</f>
        <v>60.326000000000001</v>
      </c>
      <c r="H28" s="156">
        <f t="shared" si="0"/>
        <v>27</v>
      </c>
      <c r="I28" s="156" t="str">
        <f>+IF(VLOOKUP(A28,'Estado SCI'!$A$16:$G$59,7,0)="","",VLOOKUP(A28,'Estado SCI'!$A$16:$G$59,7,0))</f>
        <v>Si</v>
      </c>
      <c r="J28" s="157">
        <f t="shared" si="2"/>
        <v>1</v>
      </c>
      <c r="K28" s="158">
        <f t="shared" si="1"/>
        <v>1</v>
      </c>
    </row>
    <row r="29" spans="1:11" ht="15" customHeight="1" x14ac:dyDescent="0.3">
      <c r="A29" s="156" t="s">
        <v>173</v>
      </c>
      <c r="B29" s="156" t="str">
        <f>+VLOOKUP(A29,'Estado SCI'!$A$16:$C$59,3,0)</f>
        <v>INFORMACION Y COMUNICACIÓN</v>
      </c>
      <c r="C29" s="156" t="s">
        <v>98</v>
      </c>
      <c r="D29" s="156" t="s">
        <v>34</v>
      </c>
      <c r="E29" s="156" t="s">
        <v>89</v>
      </c>
      <c r="F29" s="156" t="str">
        <f>+VLOOKUP(A29,'Estado SCI'!$A$16:$I$59,9,0)</f>
        <v>Mantenimiento del control</v>
      </c>
      <c r="G29" s="156">
        <f>+VLOOKUP(A29,'Estado SCI'!$A$16:$L$59,12,0)</f>
        <v>80.412000000000006</v>
      </c>
      <c r="H29" s="156">
        <f t="shared" si="0"/>
        <v>31</v>
      </c>
      <c r="I29" s="156" t="str">
        <f>+IF(VLOOKUP(A29,'Estado SCI'!$A$16:$G$59,7,0)="","",VLOOKUP(A29,'Estado SCI'!$A$16:$G$59,7,0))</f>
        <v>Si</v>
      </c>
      <c r="J29" s="157">
        <f t="shared" si="2"/>
        <v>1</v>
      </c>
      <c r="K29" s="158">
        <f t="shared" si="1"/>
        <v>0.7857142857142857</v>
      </c>
    </row>
    <row r="30" spans="1:11" ht="15" customHeight="1" x14ac:dyDescent="0.3">
      <c r="A30" s="156" t="s">
        <v>174</v>
      </c>
      <c r="B30" s="156" t="s">
        <v>87</v>
      </c>
      <c r="C30" s="156" t="s">
        <v>98</v>
      </c>
      <c r="D30" s="156" t="s">
        <v>37</v>
      </c>
      <c r="E30" s="156" t="s">
        <v>90</v>
      </c>
      <c r="F30" s="156" t="str">
        <f>+VLOOKUP(A30,'Estado SCI'!$A$16:$I$59,9,0)</f>
        <v>Oportunidad de mejora</v>
      </c>
      <c r="G30" s="156">
        <f>+VLOOKUP(A30,'Estado SCI'!$A$16:$L$59,12,0)</f>
        <v>70.412300000000002</v>
      </c>
      <c r="H30" s="156">
        <f t="shared" si="0"/>
        <v>28</v>
      </c>
      <c r="I30" s="156" t="str">
        <f>+IF(VLOOKUP(A30,'Estado SCI'!$A$16:$G$59,7,0)="","",VLOOKUP(A30,'Estado SCI'!$A$16:$G$59,7,0))</f>
        <v>En proceso</v>
      </c>
      <c r="J30" s="157">
        <f t="shared" si="2"/>
        <v>0.5</v>
      </c>
      <c r="K30" s="158">
        <f t="shared" si="1"/>
        <v>0.7857142857142857</v>
      </c>
    </row>
    <row r="31" spans="1:11" ht="15.75" customHeight="1" x14ac:dyDescent="0.3">
      <c r="A31" s="156" t="s">
        <v>175</v>
      </c>
      <c r="B31" s="156" t="s">
        <v>87</v>
      </c>
      <c r="C31" s="156" t="s">
        <v>98</v>
      </c>
      <c r="D31" s="156" t="s">
        <v>40</v>
      </c>
      <c r="E31" s="156" t="s">
        <v>91</v>
      </c>
      <c r="F31" s="156" t="str">
        <f>+VLOOKUP(A31,'Estado SCI'!$A$16:$I$59,9,0)</f>
        <v>Mantenimiento del control</v>
      </c>
      <c r="G31" s="156">
        <f>+VLOOKUP(A31,'Estado SCI'!$A$16:$L$59,12,0)</f>
        <v>80.41234</v>
      </c>
      <c r="H31" s="156">
        <f t="shared" si="0"/>
        <v>32</v>
      </c>
      <c r="I31" s="156" t="str">
        <f>+IF(VLOOKUP(A31,'Estado SCI'!$A$16:$G$59,7,0)="","",VLOOKUP(A31,'Estado SCI'!$A$16:$G$59,7,0))</f>
        <v>Si</v>
      </c>
      <c r="J31" s="157">
        <f t="shared" si="2"/>
        <v>1</v>
      </c>
      <c r="K31" s="158">
        <f t="shared" si="1"/>
        <v>0.7857142857142857</v>
      </c>
    </row>
    <row r="32" spans="1:11" x14ac:dyDescent="0.3">
      <c r="A32" s="156" t="s">
        <v>176</v>
      </c>
      <c r="B32" s="156" t="s">
        <v>87</v>
      </c>
      <c r="C32" s="156" t="s">
        <v>104</v>
      </c>
      <c r="D32" s="156" t="s">
        <v>42</v>
      </c>
      <c r="E32" s="156" t="s">
        <v>92</v>
      </c>
      <c r="F32" s="156" t="str">
        <f>+VLOOKUP(A32,'Estado SCI'!$A$16:$I$59,9,0)</f>
        <v>Oportunidad de mejora</v>
      </c>
      <c r="G32" s="156">
        <f>+VLOOKUP(A32,'Estado SCI'!$A$16:$L$59,12,0)</f>
        <v>70.412345000000002</v>
      </c>
      <c r="H32" s="156">
        <f t="shared" si="0"/>
        <v>29</v>
      </c>
      <c r="I32" s="156" t="str">
        <f>+IF(VLOOKUP(A32,'Estado SCI'!$A$16:$G$59,7,0)="","",VLOOKUP(A32,'Estado SCI'!$A$16:$G$59,7,0))</f>
        <v>En proceso</v>
      </c>
      <c r="J32" s="157">
        <f t="shared" si="2"/>
        <v>0.5</v>
      </c>
      <c r="K32" s="158">
        <f t="shared" si="1"/>
        <v>0.7857142857142857</v>
      </c>
    </row>
    <row r="33" spans="1:11" x14ac:dyDescent="0.3">
      <c r="A33" s="156" t="s">
        <v>177</v>
      </c>
      <c r="B33" s="156" t="s">
        <v>87</v>
      </c>
      <c r="C33" s="156" t="s">
        <v>178</v>
      </c>
      <c r="D33" s="156" t="s">
        <v>44</v>
      </c>
      <c r="E33" s="156" t="s">
        <v>93</v>
      </c>
      <c r="F33" s="156" t="str">
        <f>+VLOOKUP(A33,'Estado SCI'!$A$16:$I$59,9,0)</f>
        <v>Mantenimiento del control</v>
      </c>
      <c r="G33" s="156">
        <f>+VLOOKUP(A33,'Estado SCI'!$A$16:$L$59,12,0)</f>
        <v>80.412345599999995</v>
      </c>
      <c r="H33" s="156">
        <f t="shared" si="0"/>
        <v>33</v>
      </c>
      <c r="I33" s="156" t="str">
        <f>+IF(VLOOKUP(A33,'Estado SCI'!$A$16:$G$59,7,0)="","",VLOOKUP(A33,'Estado SCI'!$A$16:$G$59,7,0))</f>
        <v>Si</v>
      </c>
      <c r="J33" s="157">
        <f t="shared" si="2"/>
        <v>1</v>
      </c>
      <c r="K33" s="158">
        <f t="shared" si="1"/>
        <v>0.7857142857142857</v>
      </c>
    </row>
    <row r="34" spans="1:11" x14ac:dyDescent="0.3">
      <c r="A34" s="156" t="s">
        <v>179</v>
      </c>
      <c r="B34" s="156" t="s">
        <v>87</v>
      </c>
      <c r="C34" s="156" t="s">
        <v>178</v>
      </c>
      <c r="D34" s="156" t="s">
        <v>46</v>
      </c>
      <c r="E34" s="156" t="s">
        <v>94</v>
      </c>
      <c r="F34" s="156" t="str">
        <f>+VLOOKUP(A34,'Estado SCI'!$A$16:$I$59,9,0)</f>
        <v>Mantenimiento del control</v>
      </c>
      <c r="G34" s="156">
        <f>+VLOOKUP(A34,'Estado SCI'!$A$16:$L$59,12,0)</f>
        <v>80.412345669999993</v>
      </c>
      <c r="H34" s="156">
        <f t="shared" si="0"/>
        <v>34</v>
      </c>
      <c r="I34" s="156" t="str">
        <f>+IF(VLOOKUP(A34,'Estado SCI'!$A$16:$G$59,7,0)="","",VLOOKUP(A34,'Estado SCI'!$A$16:$G$59,7,0))</f>
        <v>Si</v>
      </c>
      <c r="J34" s="157">
        <f t="shared" si="2"/>
        <v>1</v>
      </c>
      <c r="K34" s="158">
        <f t="shared" si="1"/>
        <v>0.7857142857142857</v>
      </c>
    </row>
    <row r="35" spans="1:11" x14ac:dyDescent="0.3">
      <c r="A35" s="156" t="s">
        <v>180</v>
      </c>
      <c r="B35" s="156" t="s">
        <v>87</v>
      </c>
      <c r="C35" s="156" t="s">
        <v>178</v>
      </c>
      <c r="D35" s="156" t="s">
        <v>48</v>
      </c>
      <c r="E35" s="156" t="s">
        <v>95</v>
      </c>
      <c r="F35" s="156" t="str">
        <f>+VLOOKUP(A35,'Estado SCI'!$A$16:$I$59,9,0)</f>
        <v>Oportunidad de mejora</v>
      </c>
      <c r="G35" s="156">
        <f>+VLOOKUP(A35,'Estado SCI'!$A$16:$L$59,12,0)</f>
        <v>70.412345677999994</v>
      </c>
      <c r="H35" s="156">
        <f t="shared" si="0"/>
        <v>30</v>
      </c>
      <c r="I35" s="156" t="str">
        <f>+IF(VLOOKUP(A35,'Estado SCI'!$A$16:$G$59,7,0)="","",VLOOKUP(A35,'Estado SCI'!$A$16:$G$59,7,0))</f>
        <v>En proceso</v>
      </c>
      <c r="J35" s="157">
        <f t="shared" si="2"/>
        <v>0.5</v>
      </c>
      <c r="K35" s="158">
        <f t="shared" si="1"/>
        <v>0.7857142857142857</v>
      </c>
    </row>
    <row r="36" spans="1:11" x14ac:dyDescent="0.3">
      <c r="A36" s="156" t="s">
        <v>181</v>
      </c>
      <c r="B36" s="156" t="str">
        <f>+VLOOKUP(A36,'Estado SCI'!$A$16:$C$59,3,0)</f>
        <v>ACTIVIDADES DE MONITOREO</v>
      </c>
      <c r="C36" s="156" t="s">
        <v>178</v>
      </c>
      <c r="D36" s="156" t="s">
        <v>34</v>
      </c>
      <c r="E36" s="156" t="s">
        <v>99</v>
      </c>
      <c r="F36" s="156" t="str">
        <f>+VLOOKUP(A36,'Estado SCI'!$A$16:$I$59,9,0)</f>
        <v>Oportunidad de mejora</v>
      </c>
      <c r="G36" s="156">
        <f>+VLOOKUP(A36,'Estado SCI'!$A$16:$L$59,12,0)</f>
        <v>100.851</v>
      </c>
      <c r="H36" s="156">
        <f t="shared" si="0"/>
        <v>35</v>
      </c>
      <c r="I36" s="156" t="str">
        <f>+IF(VLOOKUP(A36,'Estado SCI'!$A$16:$G$59,7,0)="","",VLOOKUP(A36,'Estado SCI'!$A$16:$G$59,7,0))</f>
        <v>En proceso</v>
      </c>
      <c r="J36" s="157">
        <f t="shared" si="2"/>
        <v>0.5</v>
      </c>
      <c r="K36" s="158">
        <f t="shared" si="1"/>
        <v>0.85</v>
      </c>
    </row>
    <row r="37" spans="1:11" x14ac:dyDescent="0.3">
      <c r="A37" s="156" t="s">
        <v>182</v>
      </c>
      <c r="B37" s="156" t="s">
        <v>97</v>
      </c>
      <c r="C37" s="156" t="s">
        <v>178</v>
      </c>
      <c r="D37" s="156" t="s">
        <v>42</v>
      </c>
      <c r="E37" s="156" t="s">
        <v>100</v>
      </c>
      <c r="F37" s="156" t="str">
        <f>+VLOOKUP(A37,'Estado SCI'!$A$16:$I$59,9,0)</f>
        <v>Mantenimiento del control</v>
      </c>
      <c r="G37" s="156">
        <f>+VLOOKUP(A37,'Estado SCI'!$A$16:$L$59,12,0)</f>
        <v>120.85120000000001</v>
      </c>
      <c r="H37" s="156">
        <f t="shared" si="0"/>
        <v>38</v>
      </c>
      <c r="I37" s="156" t="str">
        <f>+IF(VLOOKUP(A37,'Estado SCI'!$A$16:$G$59,7,0)="","",VLOOKUP(A37,'Estado SCI'!$A$16:$G$59,7,0))</f>
        <v>Si</v>
      </c>
      <c r="J37" s="157">
        <f t="shared" si="2"/>
        <v>1</v>
      </c>
      <c r="K37" s="158">
        <f t="shared" si="1"/>
        <v>0.85</v>
      </c>
    </row>
    <row r="38" spans="1:11" x14ac:dyDescent="0.3">
      <c r="A38" s="156" t="s">
        <v>183</v>
      </c>
      <c r="B38" s="156" t="s">
        <v>97</v>
      </c>
      <c r="C38" s="156" t="s">
        <v>68</v>
      </c>
      <c r="D38" s="156" t="s">
        <v>46</v>
      </c>
      <c r="E38" s="156" t="s">
        <v>101</v>
      </c>
      <c r="F38" s="156" t="str">
        <f>+VLOOKUP(A38,'Estado SCI'!$A$16:$I$59,9,0)</f>
        <v>Mantenimiento del control</v>
      </c>
      <c r="G38" s="156">
        <f>+VLOOKUP(A38,'Estado SCI'!$A$16:$L$59,12,0)</f>
        <v>120.85123</v>
      </c>
      <c r="H38" s="156">
        <f t="shared" si="0"/>
        <v>39</v>
      </c>
      <c r="I38" s="156" t="str">
        <f>+IF(VLOOKUP(A38,'Estado SCI'!$A$16:$G$59,7,0)="","",VLOOKUP(A38,'Estado SCI'!$A$16:$G$59,7,0))</f>
        <v>Si</v>
      </c>
      <c r="J38" s="157">
        <f t="shared" si="2"/>
        <v>1</v>
      </c>
      <c r="K38" s="158">
        <f t="shared" si="1"/>
        <v>0.85</v>
      </c>
    </row>
    <row r="39" spans="1:11" x14ac:dyDescent="0.3">
      <c r="A39" s="156" t="s">
        <v>184</v>
      </c>
      <c r="B39" s="156" t="s">
        <v>97</v>
      </c>
      <c r="C39" s="156" t="s">
        <v>68</v>
      </c>
      <c r="D39" s="156" t="s">
        <v>48</v>
      </c>
      <c r="E39" s="156" t="s">
        <v>102</v>
      </c>
      <c r="F39" s="156" t="str">
        <f>+VLOOKUP(A39,'Estado SCI'!$A$16:$I$59,9,0)</f>
        <v>Mantenimiento del control</v>
      </c>
      <c r="G39" s="156">
        <f>+VLOOKUP(A39,'Estado SCI'!$A$16:$L$59,12,0)</f>
        <v>120.85123400000001</v>
      </c>
      <c r="H39" s="156">
        <f t="shared" si="0"/>
        <v>40</v>
      </c>
      <c r="I39" s="156" t="str">
        <f>+IF(VLOOKUP(A39,'Estado SCI'!$A$16:$G$59,7,0)="","",VLOOKUP(A39,'Estado SCI'!$A$16:$G$59,7,0))</f>
        <v>Si</v>
      </c>
      <c r="J39" s="157">
        <f t="shared" si="2"/>
        <v>1</v>
      </c>
      <c r="K39" s="158">
        <f t="shared" si="1"/>
        <v>0.85</v>
      </c>
    </row>
    <row r="40" spans="1:11" x14ac:dyDescent="0.3">
      <c r="A40" s="156" t="s">
        <v>185</v>
      </c>
      <c r="B40" s="156" t="s">
        <v>97</v>
      </c>
      <c r="C40" s="156" t="s">
        <v>68</v>
      </c>
      <c r="D40" s="156" t="s">
        <v>50</v>
      </c>
      <c r="E40" s="156" t="s">
        <v>105</v>
      </c>
      <c r="F40" s="156" t="str">
        <f>+VLOOKUP(A40,'Estado SCI'!$A$16:$I$59,9,0)</f>
        <v>Mantenimiento del control</v>
      </c>
      <c r="G40" s="156">
        <f>+VLOOKUP(A40,'Estado SCI'!$A$16:$L$59,12,0)</f>
        <v>120.8512345</v>
      </c>
      <c r="H40" s="156">
        <f t="shared" si="0"/>
        <v>41</v>
      </c>
      <c r="I40" s="156" t="str">
        <f>+IF(VLOOKUP(A40,'Estado SCI'!$A$16:$G$59,7,0)="","",VLOOKUP(A40,'Estado SCI'!$A$16:$G$59,7,0))</f>
        <v>Si</v>
      </c>
      <c r="J40" s="157">
        <f t="shared" si="2"/>
        <v>1</v>
      </c>
      <c r="K40" s="158">
        <f t="shared" si="1"/>
        <v>0.85</v>
      </c>
    </row>
    <row r="41" spans="1:11" x14ac:dyDescent="0.3">
      <c r="A41" s="156" t="s">
        <v>186</v>
      </c>
      <c r="B41" s="156" t="s">
        <v>97</v>
      </c>
      <c r="C41" s="156" t="s">
        <v>68</v>
      </c>
      <c r="D41" s="156" t="s">
        <v>34</v>
      </c>
      <c r="E41" s="156" t="s">
        <v>108</v>
      </c>
      <c r="F41" s="156" t="str">
        <f>+VLOOKUP(A41,'Estado SCI'!$A$16:$I$59,9,0)</f>
        <v>Mantenimiento del control</v>
      </c>
      <c r="G41" s="156">
        <f>+VLOOKUP(A41,'Estado SCI'!$A$16:$L$59,12,0)</f>
        <v>120.85123455999999</v>
      </c>
      <c r="H41" s="156">
        <f t="shared" si="0"/>
        <v>42</v>
      </c>
      <c r="I41" s="156" t="str">
        <f>+IF(VLOOKUP(A41,'Estado SCI'!$A$16:$G$59,7,0)="","",VLOOKUP(A41,'Estado SCI'!$A$16:$G$59,7,0))</f>
        <v>Si</v>
      </c>
      <c r="J41" s="157">
        <f t="shared" si="2"/>
        <v>1</v>
      </c>
      <c r="K41" s="158">
        <f t="shared" si="1"/>
        <v>0.85</v>
      </c>
    </row>
    <row r="42" spans="1:11" x14ac:dyDescent="0.3">
      <c r="A42" s="156" t="s">
        <v>187</v>
      </c>
      <c r="B42" s="156" t="s">
        <v>97</v>
      </c>
      <c r="C42" s="156" t="s">
        <v>73</v>
      </c>
      <c r="D42" s="156" t="s">
        <v>37</v>
      </c>
      <c r="E42" s="156" t="s">
        <v>109</v>
      </c>
      <c r="F42" s="156" t="str">
        <f>+VLOOKUP(A42,'Estado SCI'!$A$16:$I$59,9,0)</f>
        <v>Mantenimiento del control</v>
      </c>
      <c r="G42" s="156">
        <f>+VLOOKUP(A42,'Estado SCI'!$A$16:$L$59,12,0)</f>
        <v>120.85123456700001</v>
      </c>
      <c r="H42" s="156">
        <f t="shared" si="0"/>
        <v>43</v>
      </c>
      <c r="I42" s="156" t="str">
        <f>+IF(VLOOKUP(A42,'Estado SCI'!$A$16:$G$59,7,0)="","",VLOOKUP(A42,'Estado SCI'!$A$16:$G$59,7,0))</f>
        <v>Si</v>
      </c>
      <c r="J42" s="157">
        <f t="shared" si="2"/>
        <v>1</v>
      </c>
      <c r="K42" s="158">
        <f t="shared" si="1"/>
        <v>0.85</v>
      </c>
    </row>
    <row r="43" spans="1:11" x14ac:dyDescent="0.3">
      <c r="A43" s="156" t="s">
        <v>188</v>
      </c>
      <c r="B43" s="156" t="s">
        <v>97</v>
      </c>
      <c r="C43" s="156" t="s">
        <v>73</v>
      </c>
      <c r="D43" s="156" t="s">
        <v>40</v>
      </c>
      <c r="E43" s="156" t="s">
        <v>110</v>
      </c>
      <c r="F43" s="156" t="str">
        <f>+VLOOKUP(A43,'Estado SCI'!$A$16:$I$59,9,0)</f>
        <v>Oportunidad de mejora</v>
      </c>
      <c r="G43" s="156">
        <f>+VLOOKUP(A43,'Estado SCI'!$A$16:$L$59,12,0)</f>
        <v>100.85123456780001</v>
      </c>
      <c r="H43" s="156">
        <f t="shared" si="0"/>
        <v>36</v>
      </c>
      <c r="I43" s="156" t="str">
        <f>+IF(VLOOKUP(A43,'Estado SCI'!$A$16:$G$59,7,0)="","",VLOOKUP(A43,'Estado SCI'!$A$16:$G$59,7,0))</f>
        <v>En proceso</v>
      </c>
      <c r="J43" s="157">
        <f t="shared" si="2"/>
        <v>0.5</v>
      </c>
      <c r="K43" s="158">
        <f t="shared" si="1"/>
        <v>0.85</v>
      </c>
    </row>
    <row r="44" spans="1:11" x14ac:dyDescent="0.3">
      <c r="A44" s="156" t="s">
        <v>189</v>
      </c>
      <c r="B44" s="156" t="s">
        <v>97</v>
      </c>
      <c r="C44" s="156" t="s">
        <v>73</v>
      </c>
      <c r="D44" s="156" t="s">
        <v>42</v>
      </c>
      <c r="E44" s="156" t="s">
        <v>111</v>
      </c>
      <c r="F44" s="156" t="str">
        <f>+VLOOKUP(A44,'Estado SCI'!$A$16:$I$59,9,0)</f>
        <v>Oportunidad de mejora</v>
      </c>
      <c r="G44" s="156">
        <f>+VLOOKUP(A44,'Estado SCI'!$A$16:$L$59,12,0)</f>
        <v>100.85123456789</v>
      </c>
      <c r="H44" s="156">
        <f t="shared" si="0"/>
        <v>37</v>
      </c>
      <c r="I44" s="156" t="str">
        <f>+IF(VLOOKUP(A44,'Estado SCI'!$A$16:$G$59,7,0)="","",VLOOKUP(A44,'Estado SCI'!$A$16:$G$59,7,0))</f>
        <v>En proceso</v>
      </c>
      <c r="J44" s="157">
        <f t="shared" si="2"/>
        <v>0.5</v>
      </c>
      <c r="K44" s="158">
        <f t="shared" si="1"/>
        <v>0.85</v>
      </c>
    </row>
    <row r="45" spans="1:11" x14ac:dyDescent="0.3">
      <c r="A45" s="156" t="s">
        <v>190</v>
      </c>
      <c r="B45" s="156" t="s">
        <v>97</v>
      </c>
      <c r="C45" s="156" t="s">
        <v>73</v>
      </c>
      <c r="D45" s="156" t="s">
        <v>44</v>
      </c>
      <c r="E45" s="156" t="s">
        <v>112</v>
      </c>
      <c r="F45" s="156" t="str">
        <f>+VLOOKUP(A45,'Estado SCI'!$A$16:$I$59,9,0)</f>
        <v>Mantenimiento del control</v>
      </c>
      <c r="G45" s="156">
        <f>+VLOOKUP(A45,'Estado SCI'!$A$16:$L$59,12,0)</f>
        <v>120.851234567891</v>
      </c>
      <c r="H45" s="156">
        <f t="shared" si="0"/>
        <v>44</v>
      </c>
      <c r="I45" s="156" t="str">
        <f>+IF(VLOOKUP(A45,'Estado SCI'!$A$16:$G$59,7,0)="","",VLOOKUP(A45,'Estado SCI'!$A$16:$G$59,7,0))</f>
        <v>Si</v>
      </c>
      <c r="J45" s="157">
        <f t="shared" si="2"/>
        <v>1</v>
      </c>
      <c r="K45" s="158">
        <f t="shared" si="1"/>
        <v>0.85</v>
      </c>
    </row>
  </sheetData>
  <sheetProtection algorithmName="SHA-512" hashValue="eXgkKlTi9xJKAI7t6Aeb2RaFpkfyF43pI2BIhtxDc7hsl0SqLK8I4Wc7jbZwC5kw3uyIHOBIUXRnh5cC70LKYA==" saltValue="AxKzX6Ar80vT7acQV8rFpQ==" spinCount="100000" sheet="1" objects="1" scenarios="1" selectLockedCells="1"/>
  <autoFilter ref="A1:K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Teodora Arboleda Sinisterra</cp:lastModifiedBy>
  <cp:revision/>
  <cp:lastPrinted>2023-01-17T20:02:00Z</cp:lastPrinted>
  <dcterms:created xsi:type="dcterms:W3CDTF">2020-04-28T13:58:09Z</dcterms:created>
  <dcterms:modified xsi:type="dcterms:W3CDTF">2023-01-17T20:47:44Z</dcterms:modified>
  <cp:category/>
  <cp:contentStatus/>
</cp:coreProperties>
</file>