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bermudez\Desktop\Licitación Publica STE-005-2021 - copia\"/>
    </mc:Choice>
  </mc:AlternateContent>
  <bookViews>
    <workbookView xWindow="0" yWindow="0" windowWidth="20490" windowHeight="7755" firstSheet="2" activeTab="2"/>
  </bookViews>
  <sheets>
    <sheet name="PRESUPUESTO" sheetId="1" state="hidden" r:id="rId1"/>
    <sheet name="FORMULARIO 1" sheetId="3" state="hidden" r:id="rId2"/>
    <sheet name="FORMULARIO 1 PRESUPUESTO OF" sheetId="4" r:id="rId3"/>
    <sheet name="FORMULARIO 1 PROPONENTE" sheetId="5" r:id="rId4"/>
  </sheets>
  <externalReferences>
    <externalReference r:id="rId5"/>
    <externalReference r:id="rId6"/>
    <externalReference r:id="rId7"/>
  </externalReferences>
  <definedNames>
    <definedName name="__123Graph_A" localSheetId="1" hidden="1">[1]Alcantarillas!#REF!</definedName>
    <definedName name="__123Graph_A" localSheetId="2" hidden="1">[1]Alcantarillas!#REF!</definedName>
    <definedName name="__123Graph_A" localSheetId="3" hidden="1">[1]Alcantarillas!#REF!</definedName>
    <definedName name="__123Graph_A" hidden="1">[1]Alcantarillas!#REF!</definedName>
    <definedName name="__123Graph_B" localSheetId="1" hidden="1">[1]Alcantarillas!#REF!</definedName>
    <definedName name="__123Graph_B" localSheetId="2" hidden="1">[1]Alcantarillas!#REF!</definedName>
    <definedName name="__123Graph_B" localSheetId="3" hidden="1">[1]Alcantarillas!#REF!</definedName>
    <definedName name="__123Graph_B" hidden="1">[1]Alcantarillas!#REF!</definedName>
    <definedName name="__123Graph_C" localSheetId="1" hidden="1">[1]Alcantarillas!#REF!</definedName>
    <definedName name="__123Graph_C" localSheetId="2" hidden="1">[1]Alcantarillas!#REF!</definedName>
    <definedName name="__123Graph_C" localSheetId="3" hidden="1">[1]Alcantarillas!#REF!</definedName>
    <definedName name="__123Graph_C" hidden="1">[1]Alcantarillas!#REF!</definedName>
    <definedName name="__123Graph_D" localSheetId="1" hidden="1">[1]Alcantarillas!#REF!</definedName>
    <definedName name="__123Graph_D" localSheetId="2" hidden="1">[1]Alcantarillas!#REF!</definedName>
    <definedName name="__123Graph_D" localSheetId="3" hidden="1">[1]Alcantarillas!#REF!</definedName>
    <definedName name="__123Graph_D" hidden="1">[1]Alcantarillas!#REF!</definedName>
    <definedName name="__123Graph_X" localSheetId="1" hidden="1">[1]Alcantarillas!#REF!</definedName>
    <definedName name="__123Graph_X" localSheetId="2" hidden="1">[1]Alcantarillas!#REF!</definedName>
    <definedName name="__123Graph_X" localSheetId="3" hidden="1">[1]Alcantarillas!#REF!</definedName>
    <definedName name="__123Graph_X" hidden="1">[1]Alcantarillas!#REF!</definedName>
    <definedName name="_A2" hidden="1">{#N/A,#N/A,FALSE,"Costos Productos 6A";#N/A,#N/A,FALSE,"Costo Unitario Total H-94-12"}</definedName>
    <definedName name="_Dist_Bin" hidden="1">#N/A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1" hidden="1">'[2]46W9'!#REF!</definedName>
    <definedName name="_xlnm._FilterDatabase" localSheetId="2" hidden="1">'[2]46W9'!#REF!</definedName>
    <definedName name="_xlnm._FilterDatabase" localSheetId="3" hidden="1">'[2]46W9'!#REF!</definedName>
    <definedName name="_xlnm._FilterDatabase" hidden="1">'[2]46W9'!#REF!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hidden="1">#REF!</definedName>
    <definedName name="_Regression_Int" hidden="1">1</definedName>
    <definedName name="_Regression_Out" hidden="1">#N/A</definedName>
    <definedName name="_Regression_X" hidden="1">#N/A</definedName>
    <definedName name="_Regression_Y" hidden="1">#N/A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hidden="1">#REF!</definedName>
    <definedName name="´cAE°eE¹" localSheetId="1" hidden="1">#REF!</definedName>
    <definedName name="´cAE°eE¹" localSheetId="2" hidden="1">#REF!</definedName>
    <definedName name="´cAE°eE¹" localSheetId="3" hidden="1">#REF!</definedName>
    <definedName name="´cAE°eE¹" hidden="1">#REF!</definedName>
    <definedName name="￠￥cAE¡ÆeEⓒo" localSheetId="1" hidden="1">#REF!</definedName>
    <definedName name="￠￥cAE¡ÆeEⓒo" localSheetId="2" hidden="1">#REF!</definedName>
    <definedName name="￠￥cAE¡ÆeEⓒo" localSheetId="3" hidden="1">#REF!</definedName>
    <definedName name="￠￥cAE¡ÆeEⓒo" hidden="1">#REF!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aaaaa" hidden="1">{#N/A,#N/A,FALSE,"type1";#N/A,#N/A,FALSE,"지지력";#N/A,#N/A,FALSE,"PILE계산";#N/A,#N/A,FALSE,"PILE ";#N/A,#N/A,FALSE,"철근량";#N/A,#N/A,FALSE,"균열검토";#N/A,#N/A,FALSE,"날개벽";#N/A,#N/A,FALSE,"주철근조립도";#N/A,#N/A,FALSE,"교좌"}</definedName>
    <definedName name="AccesNvoAbs" localSheetId="1" hidden="1">#REF!</definedName>
    <definedName name="AccesNvoAbs" localSheetId="2" hidden="1">#REF!</definedName>
    <definedName name="AccesNvoAbs" localSheetId="3" hidden="1">#REF!</definedName>
    <definedName name="AccesNvoAbs" hidden="1">#REF!</definedName>
    <definedName name="AccessDatabase" hidden="1">"A:\SAIN.mdb"</definedName>
    <definedName name="ACwvu.TAB1." localSheetId="1" hidden="1">#REF!</definedName>
    <definedName name="ACwvu.TAB1." localSheetId="2" hidden="1">#REF!</definedName>
    <definedName name="ACwvu.TAB1." localSheetId="3" hidden="1">#REF!</definedName>
    <definedName name="ACwvu.TAB1." hidden="1">#REF!</definedName>
    <definedName name="ACwvu.TAB10." localSheetId="1" hidden="1">#REF!</definedName>
    <definedName name="ACwvu.TAB10." localSheetId="2" hidden="1">#REF!</definedName>
    <definedName name="ACwvu.TAB10." localSheetId="3" hidden="1">#REF!</definedName>
    <definedName name="ACwvu.TAB10." hidden="1">#REF!</definedName>
    <definedName name="ACwvu.TAB2." localSheetId="1" hidden="1">#REF!</definedName>
    <definedName name="ACwvu.TAB2." localSheetId="2" hidden="1">#REF!</definedName>
    <definedName name="ACwvu.TAB2." localSheetId="3" hidden="1">#REF!</definedName>
    <definedName name="ACwvu.TAB2." hidden="1">#REF!</definedName>
    <definedName name="ACwvu.TAB3." localSheetId="1" hidden="1">#REF!</definedName>
    <definedName name="ACwvu.TAB3." localSheetId="2" hidden="1">#REF!</definedName>
    <definedName name="ACwvu.TAB3." localSheetId="3" hidden="1">#REF!</definedName>
    <definedName name="ACwvu.TAB3." hidden="1">#REF!</definedName>
    <definedName name="ACwvu.TAB4." localSheetId="1" hidden="1">#REF!</definedName>
    <definedName name="ACwvu.TAB4." localSheetId="2" hidden="1">#REF!</definedName>
    <definedName name="ACwvu.TAB4." localSheetId="3" hidden="1">#REF!</definedName>
    <definedName name="ACwvu.TAB4." hidden="1">#REF!</definedName>
    <definedName name="ACwvu.TAB5." localSheetId="1" hidden="1">#REF!</definedName>
    <definedName name="ACwvu.TAB5." localSheetId="2" hidden="1">#REF!</definedName>
    <definedName name="ACwvu.TAB5." localSheetId="3" hidden="1">#REF!</definedName>
    <definedName name="ACwvu.TAB5." hidden="1">#REF!</definedName>
    <definedName name="afdasgh" hidden="1">{#N/A,#N/A,FALSE,"CCTV"}</definedName>
    <definedName name="afdsfdg" hidden="1">{#N/A,#N/A,FALSE,"CCTV"}</definedName>
    <definedName name="afffgff" hidden="1">{#N/A,#N/A,FALSE,"CCTV"}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qua" localSheetId="1" hidden="1">#REF!</definedName>
    <definedName name="aqua" localSheetId="2" hidden="1">#REF!</definedName>
    <definedName name="aqua" localSheetId="3" hidden="1">#REF!</definedName>
    <definedName name="aqua" hidden="1">#REF!</definedName>
    <definedName name="_xlnm.Print_Area" localSheetId="3">'FORMULARIO 1 PROPONENTE'!$A$1:$G$156</definedName>
    <definedName name="ARPASEVAN" hidden="1">{#N/A,#N/A,FALSE,"CCTV"}</definedName>
    <definedName name="bfbfdhfdhdfgh" hidden="1">{#N/A,#N/A,FALSE,"CCTV"}</definedName>
    <definedName name="BLPH1" hidden="1">#N/A</definedName>
    <definedName name="BM" hidden="1">{#N/A,#N/A,FALSE,"CCTV"}</definedName>
    <definedName name="CABCELAR" hidden="1">{#N/A,#N/A,FALSE,"Costos Productos 6A";#N/A,#N/A,FALSE,"Costo Unitario Total H-94-12"}</definedName>
    <definedName name="CESAR" hidden="1">{#N/A,#N/A,FALSE,"Costos Productos 6A";#N/A,#N/A,FALSE,"Costo Unitario Total H-94-12"}</definedName>
    <definedName name="CHACA" hidden="1">#N/A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ddd" hidden="1">{"'Sheet1'!$A$1:$G$85"}</definedName>
    <definedName name="DDDD" hidden="1">{#N/A,#N/A,FALSE,"Costos Productos 6A";#N/A,#N/A,FALSE,"Costo Unitario Total H-94-12"}</definedName>
    <definedName name="DDFD" hidden="1">{#N/A,#N/A,FALSE,"CCTV"}</definedName>
    <definedName name="dgfgjgj" hidden="1">{#N/A,#N/A,FALSE,"CCTV"}</definedName>
    <definedName name="eyteyt" hidden="1">{#N/A,#N/A,FALSE,"CCTV"}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C_COPIA" hidden="1">{"'Sheet1'!$A$1:$G$85"}</definedName>
    <definedName name="fddfhdfhdgh" hidden="1">{#N/A,#N/A,FALSE,"CCTV"}</definedName>
    <definedName name="fdf" hidden="1">{#N/A,#N/A,FALSE,"CCTV"}</definedName>
    <definedName name="FDFDF" hidden="1">{#N/A,#N/A,FALSE,"CCTV"}</definedName>
    <definedName name="ff" hidden="1">{#N/A,#N/A,FALSE,"CCTV"}</definedName>
    <definedName name="fffff" hidden="1">{"'Sheet1'!$A$1:$G$85"}</definedName>
    <definedName name="ffffff" hidden="1">{#N/A,#N/A,FALSE,"CCTV"}</definedName>
    <definedName name="FGF" hidden="1">{#N/A,#N/A,FALSE,"CCTV"}</definedName>
    <definedName name="fhgjfghfghgf" hidden="1">{#N/A,#N/A,FALSE,"CCTV"}</definedName>
    <definedName name="fORMA9698" hidden="1">{#N/A,#N/A,FALSE,"CIBHA05A";#N/A,#N/A,FALSE,"CIBHA05B"}</definedName>
    <definedName name="FORMAUNIT" hidden="1">{#N/A,#N/A,FALSE,"Costos Productos 6A";#N/A,#N/A,FALSE,"Costo Unitario Total H-94-12"}</definedName>
    <definedName name="gfjgfh" hidden="1">{#N/A,#N/A,FALSE,"CCTV"}</definedName>
    <definedName name="gfjgfhfg" hidden="1">{#N/A,#N/A,FALSE,"CCTV"}</definedName>
    <definedName name="GRCHIS0599" hidden="1">{#N/A,#N/A,FALSE,"Costos Productos 6A";#N/A,#N/A,FALSE,"Costo Unitario Total H-94-12"}</definedName>
    <definedName name="hfdgfdg" hidden="1">{#N/A,#N/A,FALSE,"CCTV"}</definedName>
    <definedName name="hfjhhjj" hidden="1">{#N/A,#N/A,FALSE,"CCTV"}</definedName>
    <definedName name="hgjfgh" hidden="1">{#N/A,#N/A,FALSE,"CCTV"}</definedName>
    <definedName name="hgjgfhgh" hidden="1">{#N/A,#N/A,FALSE,"CCTV"}</definedName>
    <definedName name="hh" hidden="1">{#N/A,#N/A,FALSE,"CCTV"}</definedName>
    <definedName name="HHH" hidden="1">{#N/A,#N/A,FALSE,"CCTV"}</definedName>
    <definedName name="HISTORICO" hidden="1">{#N/A,#N/A,FALSE,"Costos Productos 6A";#N/A,#N/A,FALSE,"Costo Unitario Total H-94-12"}</definedName>
    <definedName name="HSIT" hidden="1">{#N/A,#N/A,FALSE,"CIBHA05A";#N/A,#N/A,FALSE,"CIBHA05B"}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"C:\My Documents\MyHTML.htm"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iouolkll" hidden="1">{#N/A,#N/A,FALSE,"CCTV"}</definedName>
    <definedName name="impuestos" hidden="1">{"'Sheet1'!$A$1:$G$85"}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jhhhh" hidden="1">{#N/A,#N/A,FALSE,"CCTV"}</definedName>
    <definedName name="kghlgh" hidden="1">{#N/A,#N/A,FALSE,"CCTV"}</definedName>
    <definedName name="kiulil" hidden="1">{#N/A,#N/A,FALSE,"CCTV"}</definedName>
    <definedName name="kj" localSheetId="1" hidden="1">#REF!</definedName>
    <definedName name="kj" localSheetId="2" hidden="1">#REF!</definedName>
    <definedName name="kj" localSheetId="3" hidden="1">#REF!</definedName>
    <definedName name="kj" hidden="1">#REF!</definedName>
    <definedName name="kjhlh" hidden="1">{#N/A,#N/A,FALSE,"CCTV"}</definedName>
    <definedName name="kjhljhk" hidden="1">{#N/A,#N/A,FALSE,"CCTV"}</definedName>
    <definedName name="KO" localSheetId="1" hidden="1">#REF!</definedName>
    <definedName name="KO" localSheetId="2" hidden="1">#REF!</definedName>
    <definedName name="KO" localSheetId="3" hidden="1">#REF!</definedName>
    <definedName name="KO" hidden="1">#REF!</definedName>
    <definedName name="lklhlkjl" hidden="1">{#N/A,#N/A,FALSE,"CCTV"}</definedName>
    <definedName name="mecanico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LKJ" hidden="1">{#N/A,#N/A,FALSE,"Costos Productos 6A";#N/A,#N/A,FALSE,"Costo Unitario Total H-94-12"}</definedName>
    <definedName name="mmmmm" hidden="1">{#N/A,#N/A,FALSE,"CCTV"}</definedName>
    <definedName name="MPA" hidden="1">{"'Sheet1'!$A$1:$G$85"}</definedName>
    <definedName name="NEWNAME" hidden="1">{#N/A,#N/A,FALSE,"CCTV"}</definedName>
    <definedName name="nkknk" hidden="1">{#N/A,#N/A,FALSE,"CCTV"}</definedName>
    <definedName name="noemi" hidden="1">{#N/A,#N/A,FALSE,"Costos Productos 6A";#N/A,#N/A,FALSE,"Costo Unitario Total H-94-12"}</definedName>
    <definedName name="ODH" localSheetId="1" hidden="1">#REF!</definedName>
    <definedName name="ODH" localSheetId="2" hidden="1">#REF!</definedName>
    <definedName name="ODH" localSheetId="3" hidden="1">#REF!</definedName>
    <definedName name="ODH" hidden="1">#REF!</definedName>
    <definedName name="oficial" hidden="1">{#N/A,#N/A,FALSE,"CIBHA05A";#N/A,#N/A,FALSE,"CIBHA05B"}</definedName>
    <definedName name="oililui" hidden="1">{#N/A,#N/A,FALSE,"CCTV"}</definedName>
    <definedName name="PPP" hidden="1">{#N/A,#N/A,FALSE,"CCTV"}</definedName>
    <definedName name="PPT" hidden="1">#N/A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E" hidden="1">{#N/A,#N/A,FALSE,"Costos Productos 6A";#N/A,#N/A,FALSE,"Costo Unitario Total H-94-12"}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rarewt" hidden="1">{#N/A,#N/A,FALSE,"CCTV"}</definedName>
    <definedName name="repuestos2" hidden="1">{#N/A,#N/A,FALSE,"Off C100-Project Management";#N/A,#N/A,FALSE,"C101-Engineering";#N/A,#N/A,FALSE,"Off C102-Procurement";#N/A,#N/A,FALSE,"Off C105-Electromechanical Work";#N/A,#N/A,FALSE,"On C100-Project Management";#N/A,#N/A,FALSE,"On C102-Procurement";#N/A,#N/A,FALSE,"C104-Civil Work";#N/A,#N/A,FALSE,"On C105-Electromechanical Work"}</definedName>
    <definedName name="rr" hidden="1">{"'Sheet1'!$A$1:$G$85"}</definedName>
    <definedName name="rrrrr" hidden="1">{"'Sheet1'!$A$1:$G$85"}</definedName>
    <definedName name="RRRRRRR" hidden="1">{"'Sheet1'!$A$1:$G$85"}</definedName>
    <definedName name="Swvu.TAB1." localSheetId="1" hidden="1">#REF!</definedName>
    <definedName name="Swvu.TAB1." localSheetId="2" hidden="1">#REF!</definedName>
    <definedName name="Swvu.TAB1." localSheetId="3" hidden="1">#REF!</definedName>
    <definedName name="Swvu.TAB1." hidden="1">#REF!</definedName>
    <definedName name="Swvu.TAB2." localSheetId="1" hidden="1">#REF!</definedName>
    <definedName name="Swvu.TAB2." localSheetId="2" hidden="1">#REF!</definedName>
    <definedName name="Swvu.TAB2." localSheetId="3" hidden="1">#REF!</definedName>
    <definedName name="Swvu.TAB2." hidden="1">#REF!</definedName>
    <definedName name="Swvu.TAB3." localSheetId="1" hidden="1">#REF!</definedName>
    <definedName name="Swvu.TAB3." localSheetId="2" hidden="1">#REF!</definedName>
    <definedName name="Swvu.TAB3." localSheetId="3" hidden="1">#REF!</definedName>
    <definedName name="Swvu.TAB3." hidden="1">#REF!</definedName>
    <definedName name="Swvu.TAB4." localSheetId="1" hidden="1">#REF!</definedName>
    <definedName name="Swvu.TAB4." localSheetId="2" hidden="1">#REF!</definedName>
    <definedName name="Swvu.TAB4." localSheetId="3" hidden="1">#REF!</definedName>
    <definedName name="Swvu.TAB4." hidden="1">#REF!</definedName>
    <definedName name="Swvu.TAB5." localSheetId="1" hidden="1">#REF!</definedName>
    <definedName name="Swvu.TAB5." localSheetId="2" hidden="1">#REF!</definedName>
    <definedName name="Swvu.TAB5." localSheetId="3" hidden="1">#REF!</definedName>
    <definedName name="Swvu.TAB5." hidden="1">#REF!</definedName>
    <definedName name="tab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UUU" hidden="1">{#N/A,#N/A,FALSE,"CCTV"}</definedName>
    <definedName name="vvvv" hidden="1">{"'Sheet1'!$A$1:$G$85"}</definedName>
    <definedName name="vvvvvv" hidden="1">{#N/A,#N/A,FALSE,"Costos Productos 6A";#N/A,#N/A,FALSE,"Costo Unitario Total H-94-12"}</definedName>
    <definedName name="WRITE" hidden="1">{#N/A,#N/A,FALSE,"CCTV"}</definedName>
    <definedName name="wrn.actafabi." hidden="1">{"hoja1",#N/A,FALSE,"Hoja1";"hoja2cuadro1",#N/A,FALSE,"Hoja2";"hoja2cuadro2",#N/A,FALSE,"Hoja2";"hoja2cuadro3",#N/A,FALSE,"Hoja2";"hoja2cuadro4",#N/A,FALSE,"Hoja2";"hoja3",#N/A,FALSE,"Hoja3";"hoja4",#N/A,FALSE,"Hoja4";"hoja5cuadro1",#N/A,FALSE,"Hoja5";"hoja5cuadro2",#N/A,FALSE,"Hoja5";"hoja5cuadro3",#N/A,FALSE,"Hoja5";"hoja5cuadro4",#N/A,FALSE,"Hoja5";"hoja5cuadro5",#N/A,FALSE,"Hoja5";"hoja5cuadro6",#N/A,FALSE,"Hoja5";"hoja6cuadro1",#N/A,FALSE,"Hoja6";"hoja6cuadro2",#N/A,FALSE,"Hoja6";"hoja7",#N/A,FALSE,"Hoja7";"hoja 9",#N/A,FALSE,"Hoja9";"hoja8",#N/A,FALSE,"Hoja8"}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BM." hidden="1">{#N/A,#N/A,FALSE,"CCTV"}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precios.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wrn.Presupuesto." hidden="1">{#N/A,#N/A,FALSE,"Off C100-Project Management";#N/A,#N/A,FALSE,"C101-Engineering";#N/A,#N/A,FALSE,"Off C102-Procurement";#N/A,#N/A,FALSE,"Off C105-Electromechanical Work";#N/A,#N/A,FALSE,"On C100-Project Management";#N/A,#N/A,FALSE,"On C102-Procurement";#N/A,#N/A,FALSE,"C104-Civil Work";#N/A,#N/A,FALSE,"On C105-Electromechanical Work"}</definedName>
    <definedName name="wrn.PrintAll." hidden="1">{#N/A,#N/A,FALSE,"Sheet1";#N/A,#N/A,FALSE,"Sheet2";#N/A,#N/A,FALSE,"Sheet3";#N/A,#N/A,FALSE,"Sheet4";#N/A,#N/A,FALSE,"Sheet5";#N/A,#N/A,FALSE,"Sheet6";#N/A,#N/A,FALSE,"Sheet7";#N/A,#N/A,FALSE,"Sheet8";#N/A,#N/A,FALSE,"Sheet9"}</definedName>
    <definedName name="wrn.PrintCurr." hidden="1">{#N/A,#N/A,FALSE,"Sheet1";#N/A,#N/A,FALSE,"Sheet2";#N/A,#N/A,FALSE,"Sheet3"}</definedName>
    <definedName name="wrn.PrintPrev1." hidden="1">{#N/A,#N/A,FALSE,"Sheet4";#N/A,#N/A,FALSE,"Sheet5";#N/A,#N/A,FALSE,"Sheet6"}</definedName>
    <definedName name="wrn.PrintPrev2." hidden="1">{#N/A,#N/A,FALSE,"Sheet7";#N/A,#N/A,FALSE,"Sheet8";#N/A,#N/A,FALSE,"Sheet9"}</definedName>
    <definedName name="wrn.Resumen." hidden="1">{#N/A,#N/A,FALSE,"Hoja1";#N/A,#N/A,FALSE,"Hoja2"}</definedName>
    <definedName name="wrn.via." hidden="1">{"via1",#N/A,TRUE,"general";"via2",#N/A,TRUE,"general";"via3",#N/A,TRUE,"general"}</definedName>
    <definedName name="wrn.교대." hidden="1">{#N/A,#N/A,FALSE,"type1";#N/A,#N/A,FALSE,"지지력";#N/A,#N/A,FALSE,"PILE계산";#N/A,#N/A,FALSE,"PILE ";#N/A,#N/A,FALSE,"철근량";#N/A,#N/A,FALSE,"균열검토";#N/A,#N/A,FALSE,"날개벽";#N/A,#N/A,FALSE,"주철근조립도";#N/A,#N/A,FALSE,"교좌"}</definedName>
    <definedName name="wvu.TAB1." hidden="1">{TRUE,TRUE,-1.25,-16.25,772.5,492.75,FALSE,FALSE,TRUE,FALSE,0,1,#N/A,10,#N/A,15.5208333333333,44.3846153846154,1,FALSE,FALSE,3,TRUE,1,FALSE,75,"Swvu.TAB1.","ACwvu.TAB1.",39,FALSE,FALSE,0.669291338582677,0.551181102362205,0.511811023622047,0.708661417322835,2,"","&amp;L&amp;8Adendo No. 6&amp;R&amp;8Página 5.&amp;P",TRUE,FALSE,FALSE,FALSE,1,100,#N/A,#N/A,"=R10C1:R190C9","=R1:R9",#N/A,#N/A,FALSE,FALSE,TRUE,1,300,300,FALSE,FALSE,TRUE,TRUE,TRUE}</definedName>
    <definedName name="wvu.TAB2." hidden="1">{TRUE,TRUE,-1.25,-16.25,772.5,492.75,FALSE,FALSE,TRUE,FALSE,0,1,#N/A,203,#N/A,15.5208333333333,45.2307692307692,1,FALSE,FALSE,3,TRUE,1,FALSE,75,"Swvu.TAB2.","ACwvu.TAB2.",39,FALSE,FALSE,0.65,0.55,0.5,0.71,2,"","&amp;L&amp;8Adendo No. 6&amp;R&amp;8Página 5.&amp;P",TRUE,FALSE,FALSE,FALSE,1,100,#N/A,#N/A,"=R203C1:R331C9","=R193:R202",#N/A,#N/A,FALSE,FALSE,TRUE,1,300,300,FALSE,FALSE,TRUE,TRUE,TRUE}</definedName>
    <definedName name="wvu.TAB3." hidden="1">{TRUE,TRUE,-1.25,-16.25,772.5,492.75,FALSE,FALSE,TRUE,FALSE,0,1,#N/A,305,#N/A,15.5208333333333,41.5714285714286,1,FALSE,FALSE,3,TRUE,1,FALSE,75,"Swvu.TAB3.","ACwvu.TAB3.",39,FALSE,FALSE,0.65,0.55,0.5,0.71,2,"","&amp;L&amp;8Adendo No. 6&amp;R&amp;8Página 5.&amp;P",TRUE,FALSE,FALSE,FALSE,1,100,#N/A,#N/A,"=R346C1:R558C9","=R336:R345",#N/A,#N/A,FALSE,FALSE,TRUE,1,300,300,FALSE,FALSE,TRUE,TRUE,TRUE}</definedName>
    <definedName name="wvu.TAB4." hidden="1">{TRUE,TRUE,-1.25,-16.25,772.5,492.75,FALSE,FALSE,TRUE,FALSE,0,1,#N/A,574,#N/A,15.5208333333333,45.1538461538462,1,FALSE,FALSE,3,TRUE,1,FALSE,75,"Swvu.TAB4.","ACwvu.TAB4.",39,FALSE,FALSE,0.65,0.55,0.5,0.71,2,"","&amp;L&amp;8Adendo No. 6
&amp;R&amp;8Página 5.&amp;P",TRUE,FALSE,FALSE,FALSE,1,100,#N/A,#N/A,"=R574C1:R842C9","=R564:R573",#N/A,#N/A,FALSE,FALSE,TRUE,1,300,300,FALSE,FALSE,TRUE,TRUE,TRUE}</definedName>
    <definedName name="wvu.TAB5." hidden="1">{TRUE,TRUE,-1.25,-16.25,772.5,492.75,FALSE,FALSE,TRUE,FALSE,0,1,#N/A,856,#N/A,15.5208333333333,42.2307692307692,1,FALSE,FALSE,3,TRUE,1,FALSE,75,"Swvu.TAB5.","ACwvu.TAB5.",70,FALSE,FALSE,0.65,0.55,0.5,0.71,2,"","&amp;L&amp;8Adendo No. 6&amp;R&amp;8Página 5.&amp;P",TRUE,FALSE,FALSE,FALSE,1,100,#N/A,#N/A,"=R856C1:R1054C9","=R846:R855",#N/A,#N/A,FALSE,FALSE,TRUE,1,300,300,FALSE,FALSE,TRUE,TRUE,TRUE}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" hidden="1">{#N/A,#N/A,FALSE,"CCTV"}</definedName>
    <definedName name="x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XXX" hidden="1">{"'Sheet1'!$A$1:$G$85"}</definedName>
    <definedName name="xxxx" hidden="1">{"'Sheet1'!$A$1:$G$85"}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XXX" hidden="1">{"via1",#N/A,TRUE,"general";"via2",#N/A,TRUE,"general";"via3",#N/A,TRUE,"general"}</definedName>
    <definedName name="yrdtytyt" hidden="1">{#N/A,#N/A,FALSE,"CCTV"}</definedName>
    <definedName name="yyyyy" hidden="1">{#N/A,#N/A,FALSE,"Costos Productos 6A";#N/A,#N/A,FALSE,"Costo Unitario Total H-94-12"}</definedName>
    <definedName name="Z_026CD6D7_F7CA_4BE8_B625_9A1778CFA739_.wvu.FilterData" localSheetId="1" hidden="1">#REF!</definedName>
    <definedName name="Z_026CD6D7_F7CA_4BE8_B625_9A1778CFA739_.wvu.FilterData" localSheetId="2" hidden="1">#REF!</definedName>
    <definedName name="Z_026CD6D7_F7CA_4BE8_B625_9A1778CFA739_.wvu.FilterData" localSheetId="3" hidden="1">#REF!</definedName>
    <definedName name="Z_026CD6D7_F7CA_4BE8_B625_9A1778CFA739_.wvu.FilterData" hidden="1">#REF!</definedName>
    <definedName name="Z_026CD6D7_F7CA_4BE8_B625_9A1778CFA739_.wvu.PrintArea" localSheetId="1" hidden="1">#REF!</definedName>
    <definedName name="Z_026CD6D7_F7CA_4BE8_B625_9A1778CFA739_.wvu.PrintArea" localSheetId="2" hidden="1">#REF!</definedName>
    <definedName name="Z_026CD6D7_F7CA_4BE8_B625_9A1778CFA739_.wvu.PrintArea" localSheetId="3" hidden="1">#REF!</definedName>
    <definedName name="Z_026CD6D7_F7CA_4BE8_B625_9A1778CFA739_.wvu.PrintArea" hidden="1">#REF!</definedName>
    <definedName name="Z_026CD6D7_F7CA_4BE8_B625_9A1778CFA739_.wvu.PrintTitles" localSheetId="1" hidden="1">#REF!</definedName>
    <definedName name="Z_026CD6D7_F7CA_4BE8_B625_9A1778CFA739_.wvu.PrintTitles" localSheetId="2" hidden="1">#REF!</definedName>
    <definedName name="Z_026CD6D7_F7CA_4BE8_B625_9A1778CFA739_.wvu.PrintTitles" localSheetId="3" hidden="1">#REF!</definedName>
    <definedName name="Z_026CD6D7_F7CA_4BE8_B625_9A1778CFA739_.wvu.PrintTitles" hidden="1">#REF!</definedName>
    <definedName name="Z_05670E35_1347_49D9_AD91_AA9A31A4EF61_.wvu.FilterData" localSheetId="1" hidden="1">#REF!</definedName>
    <definedName name="Z_05670E35_1347_49D9_AD91_AA9A31A4EF61_.wvu.FilterData" localSheetId="2" hidden="1">#REF!</definedName>
    <definedName name="Z_05670E35_1347_49D9_AD91_AA9A31A4EF61_.wvu.FilterData" localSheetId="3" hidden="1">#REF!</definedName>
    <definedName name="Z_05670E35_1347_49D9_AD91_AA9A31A4EF61_.wvu.FilterData" hidden="1">#REF!</definedName>
    <definedName name="Z_05670E35_1347_49D9_AD91_AA9A31A4EF61_.wvu.PrintArea" localSheetId="1" hidden="1">#REF!</definedName>
    <definedName name="Z_05670E35_1347_49D9_AD91_AA9A31A4EF61_.wvu.PrintArea" localSheetId="2" hidden="1">#REF!</definedName>
    <definedName name="Z_05670E35_1347_49D9_AD91_AA9A31A4EF61_.wvu.PrintArea" localSheetId="3" hidden="1">#REF!</definedName>
    <definedName name="Z_05670E35_1347_49D9_AD91_AA9A31A4EF61_.wvu.PrintArea" hidden="1">#REF!</definedName>
    <definedName name="Z_05670E35_1347_49D9_AD91_AA9A31A4EF61_.wvu.PrintTitles" localSheetId="1" hidden="1">#REF!</definedName>
    <definedName name="Z_05670E35_1347_49D9_AD91_AA9A31A4EF61_.wvu.PrintTitles" localSheetId="2" hidden="1">#REF!</definedName>
    <definedName name="Z_05670E35_1347_49D9_AD91_AA9A31A4EF61_.wvu.PrintTitles" localSheetId="3" hidden="1">#REF!</definedName>
    <definedName name="Z_05670E35_1347_49D9_AD91_AA9A31A4EF61_.wvu.PrintTitles" hidden="1">#REF!</definedName>
    <definedName name="Z_086A872D_15DF_436A_8459_CE22F6819FF4_.wvu.Rows" localSheetId="1" hidden="1">[2]Presentacion!#REF!</definedName>
    <definedName name="Z_086A872D_15DF_436A_8459_CE22F6819FF4_.wvu.Rows" localSheetId="2" hidden="1">[2]Presentacion!#REF!</definedName>
    <definedName name="Z_086A872D_15DF_436A_8459_CE22F6819FF4_.wvu.Rows" localSheetId="3" hidden="1">[2]Presentacion!#REF!</definedName>
    <definedName name="Z_086A872D_15DF_436A_8459_CE22F6819FF4_.wvu.Rows" hidden="1">[2]Presentacion!#REF!</definedName>
    <definedName name="Z_0890F28A_A8C8_451C_A3E6_C3AFDD239B64_.wvu.FilterData" localSheetId="1" hidden="1">#REF!</definedName>
    <definedName name="Z_0890F28A_A8C8_451C_A3E6_C3AFDD239B64_.wvu.FilterData" localSheetId="2" hidden="1">#REF!</definedName>
    <definedName name="Z_0890F28A_A8C8_451C_A3E6_C3AFDD239B64_.wvu.FilterData" localSheetId="3" hidden="1">#REF!</definedName>
    <definedName name="Z_0890F28A_A8C8_451C_A3E6_C3AFDD239B64_.wvu.FilterData" hidden="1">#REF!</definedName>
    <definedName name="Z_0890F28A_A8C8_451C_A3E6_C3AFDD239B64_.wvu.PrintArea" localSheetId="1" hidden="1">#REF!</definedName>
    <definedName name="Z_0890F28A_A8C8_451C_A3E6_C3AFDD239B64_.wvu.PrintArea" localSheetId="2" hidden="1">#REF!</definedName>
    <definedName name="Z_0890F28A_A8C8_451C_A3E6_C3AFDD239B64_.wvu.PrintArea" localSheetId="3" hidden="1">#REF!</definedName>
    <definedName name="Z_0890F28A_A8C8_451C_A3E6_C3AFDD239B64_.wvu.PrintArea" hidden="1">#REF!</definedName>
    <definedName name="Z_0890F28A_A8C8_451C_A3E6_C3AFDD239B64_.wvu.PrintTitles" localSheetId="1" hidden="1">#REF!</definedName>
    <definedName name="Z_0890F28A_A8C8_451C_A3E6_C3AFDD239B64_.wvu.PrintTitles" localSheetId="2" hidden="1">#REF!</definedName>
    <definedName name="Z_0890F28A_A8C8_451C_A3E6_C3AFDD239B64_.wvu.PrintTitles" localSheetId="3" hidden="1">#REF!</definedName>
    <definedName name="Z_0890F28A_A8C8_451C_A3E6_C3AFDD239B64_.wvu.PrintTitles" hidden="1">#REF!</definedName>
    <definedName name="Z_0A4C2D72_EA87_11DA_B6F6_00609720E0A1_.wvu.FilterData" localSheetId="1" hidden="1">#REF!</definedName>
    <definedName name="Z_0A4C2D72_EA87_11DA_B6F6_00609720E0A1_.wvu.FilterData" localSheetId="2" hidden="1">#REF!</definedName>
    <definedName name="Z_0A4C2D72_EA87_11DA_B6F6_00609720E0A1_.wvu.FilterData" localSheetId="3" hidden="1">#REF!</definedName>
    <definedName name="Z_0A4C2D72_EA87_11DA_B6F6_00609720E0A1_.wvu.FilterData" hidden="1">#REF!</definedName>
    <definedName name="Z_0A4C2D72_EA87_11DA_B6F6_00609720E0A1_.wvu.PrintArea" localSheetId="1" hidden="1">#REF!</definedName>
    <definedName name="Z_0A4C2D72_EA87_11DA_B6F6_00609720E0A1_.wvu.PrintArea" localSheetId="2" hidden="1">#REF!</definedName>
    <definedName name="Z_0A4C2D72_EA87_11DA_B6F6_00609720E0A1_.wvu.PrintArea" localSheetId="3" hidden="1">#REF!</definedName>
    <definedName name="Z_0A4C2D72_EA87_11DA_B6F6_00609720E0A1_.wvu.PrintArea" hidden="1">#REF!</definedName>
    <definedName name="Z_0A4C2D72_EA87_11DA_B6F6_00609720E0A1_.wvu.PrintTitles" localSheetId="1" hidden="1">#REF!</definedName>
    <definedName name="Z_0A4C2D72_EA87_11DA_B6F6_00609720E0A1_.wvu.PrintTitles" localSheetId="2" hidden="1">#REF!</definedName>
    <definedName name="Z_0A4C2D72_EA87_11DA_B6F6_00609720E0A1_.wvu.PrintTitles" localSheetId="3" hidden="1">#REF!</definedName>
    <definedName name="Z_0A4C2D72_EA87_11DA_B6F6_00609720E0A1_.wvu.PrintTitles" hidden="1">#REF!</definedName>
    <definedName name="Z_0A4C2D73_EA87_11DA_B6F6_00609720E0A1_.wvu.FilterData" localSheetId="1" hidden="1">#REF!</definedName>
    <definedName name="Z_0A4C2D73_EA87_11DA_B6F6_00609720E0A1_.wvu.FilterData" localSheetId="2" hidden="1">#REF!</definedName>
    <definedName name="Z_0A4C2D73_EA87_11DA_B6F6_00609720E0A1_.wvu.FilterData" localSheetId="3" hidden="1">#REF!</definedName>
    <definedName name="Z_0A4C2D73_EA87_11DA_B6F6_00609720E0A1_.wvu.FilterData" hidden="1">#REF!</definedName>
    <definedName name="Z_0A4C2D73_EA87_11DA_B6F6_00609720E0A1_.wvu.PrintArea" localSheetId="1" hidden="1">#REF!</definedName>
    <definedName name="Z_0A4C2D73_EA87_11DA_B6F6_00609720E0A1_.wvu.PrintArea" localSheetId="2" hidden="1">#REF!</definedName>
    <definedName name="Z_0A4C2D73_EA87_11DA_B6F6_00609720E0A1_.wvu.PrintArea" localSheetId="3" hidden="1">#REF!</definedName>
    <definedName name="Z_0A4C2D73_EA87_11DA_B6F6_00609720E0A1_.wvu.PrintArea" hidden="1">#REF!</definedName>
    <definedName name="Z_0A4C2D73_EA87_11DA_B6F6_00609720E0A1_.wvu.PrintTitles" localSheetId="1" hidden="1">#REF!</definedName>
    <definedName name="Z_0A4C2D73_EA87_11DA_B6F6_00609720E0A1_.wvu.PrintTitles" localSheetId="2" hidden="1">#REF!</definedName>
    <definedName name="Z_0A4C2D73_EA87_11DA_B6F6_00609720E0A1_.wvu.PrintTitles" localSheetId="3" hidden="1">#REF!</definedName>
    <definedName name="Z_0A4C2D73_EA87_11DA_B6F6_00609720E0A1_.wvu.PrintTitles" hidden="1">#REF!</definedName>
    <definedName name="Z_0A4C2D74_EA87_11DA_B6F6_00609720E0A1_.wvu.FilterData" localSheetId="1" hidden="1">#REF!</definedName>
    <definedName name="Z_0A4C2D74_EA87_11DA_B6F6_00609720E0A1_.wvu.FilterData" localSheetId="2" hidden="1">#REF!</definedName>
    <definedName name="Z_0A4C2D74_EA87_11DA_B6F6_00609720E0A1_.wvu.FilterData" localSheetId="3" hidden="1">#REF!</definedName>
    <definedName name="Z_0A4C2D74_EA87_11DA_B6F6_00609720E0A1_.wvu.FilterData" hidden="1">#REF!</definedName>
    <definedName name="Z_0A4C2D74_EA87_11DA_B6F6_00609720E0A1_.wvu.PrintArea" localSheetId="1" hidden="1">#REF!</definedName>
    <definedName name="Z_0A4C2D74_EA87_11DA_B6F6_00609720E0A1_.wvu.PrintArea" localSheetId="2" hidden="1">#REF!</definedName>
    <definedName name="Z_0A4C2D74_EA87_11DA_B6F6_00609720E0A1_.wvu.PrintArea" localSheetId="3" hidden="1">#REF!</definedName>
    <definedName name="Z_0A4C2D74_EA87_11DA_B6F6_00609720E0A1_.wvu.PrintArea" hidden="1">#REF!</definedName>
    <definedName name="Z_0A4C2D74_EA87_11DA_B6F6_00609720E0A1_.wvu.PrintTitles" localSheetId="1" hidden="1">#REF!</definedName>
    <definedName name="Z_0A4C2D74_EA87_11DA_B6F6_00609720E0A1_.wvu.PrintTitles" localSheetId="2" hidden="1">#REF!</definedName>
    <definedName name="Z_0A4C2D74_EA87_11DA_B6F6_00609720E0A1_.wvu.PrintTitles" localSheetId="3" hidden="1">#REF!</definedName>
    <definedName name="Z_0A4C2D74_EA87_11DA_B6F6_00609720E0A1_.wvu.PrintTitles" hidden="1">#REF!</definedName>
    <definedName name="Z_0A4C2D75_EA87_11DA_B6F6_00609720E0A1_.wvu.FilterData" localSheetId="1" hidden="1">#REF!</definedName>
    <definedName name="Z_0A4C2D75_EA87_11DA_B6F6_00609720E0A1_.wvu.FilterData" localSheetId="2" hidden="1">#REF!</definedName>
    <definedName name="Z_0A4C2D75_EA87_11DA_B6F6_00609720E0A1_.wvu.FilterData" localSheetId="3" hidden="1">#REF!</definedName>
    <definedName name="Z_0A4C2D75_EA87_11DA_B6F6_00609720E0A1_.wvu.FilterData" hidden="1">#REF!</definedName>
    <definedName name="Z_0A4C2D75_EA87_11DA_B6F6_00609720E0A1_.wvu.PrintArea" localSheetId="1" hidden="1">#REF!</definedName>
    <definedName name="Z_0A4C2D75_EA87_11DA_B6F6_00609720E0A1_.wvu.PrintArea" localSheetId="2" hidden="1">#REF!</definedName>
    <definedName name="Z_0A4C2D75_EA87_11DA_B6F6_00609720E0A1_.wvu.PrintArea" localSheetId="3" hidden="1">#REF!</definedName>
    <definedName name="Z_0A4C2D75_EA87_11DA_B6F6_00609720E0A1_.wvu.PrintArea" hidden="1">#REF!</definedName>
    <definedName name="Z_0A4C2D75_EA87_11DA_B6F6_00609720E0A1_.wvu.PrintTitles" localSheetId="1" hidden="1">#REF!</definedName>
    <definedName name="Z_0A4C2D75_EA87_11DA_B6F6_00609720E0A1_.wvu.PrintTitles" localSheetId="2" hidden="1">#REF!</definedName>
    <definedName name="Z_0A4C2D75_EA87_11DA_B6F6_00609720E0A1_.wvu.PrintTitles" localSheetId="3" hidden="1">#REF!</definedName>
    <definedName name="Z_0A4C2D75_EA87_11DA_B6F6_00609720E0A1_.wvu.PrintTitles" hidden="1">#REF!</definedName>
    <definedName name="Z_0A4C2D76_EA87_11DA_B6F6_00609720E0A1_.wvu.FilterData" localSheetId="1" hidden="1">#REF!</definedName>
    <definedName name="Z_0A4C2D76_EA87_11DA_B6F6_00609720E0A1_.wvu.FilterData" localSheetId="2" hidden="1">#REF!</definedName>
    <definedName name="Z_0A4C2D76_EA87_11DA_B6F6_00609720E0A1_.wvu.FilterData" localSheetId="3" hidden="1">#REF!</definedName>
    <definedName name="Z_0A4C2D76_EA87_11DA_B6F6_00609720E0A1_.wvu.FilterData" hidden="1">#REF!</definedName>
    <definedName name="Z_0A4C2D76_EA87_11DA_B6F6_00609720E0A1_.wvu.PrintArea" localSheetId="1" hidden="1">#REF!</definedName>
    <definedName name="Z_0A4C2D76_EA87_11DA_B6F6_00609720E0A1_.wvu.PrintArea" localSheetId="2" hidden="1">#REF!</definedName>
    <definedName name="Z_0A4C2D76_EA87_11DA_B6F6_00609720E0A1_.wvu.PrintArea" localSheetId="3" hidden="1">#REF!</definedName>
    <definedName name="Z_0A4C2D76_EA87_11DA_B6F6_00609720E0A1_.wvu.PrintArea" hidden="1">#REF!</definedName>
    <definedName name="Z_0A4C2D76_EA87_11DA_B6F6_00609720E0A1_.wvu.PrintTitles" localSheetId="1" hidden="1">#REF!</definedName>
    <definedName name="Z_0A4C2D76_EA87_11DA_B6F6_00609720E0A1_.wvu.PrintTitles" localSheetId="2" hidden="1">#REF!</definedName>
    <definedName name="Z_0A4C2D76_EA87_11DA_B6F6_00609720E0A1_.wvu.PrintTitles" localSheetId="3" hidden="1">#REF!</definedName>
    <definedName name="Z_0A4C2D76_EA87_11DA_B6F6_00609720E0A1_.wvu.PrintTitles" hidden="1">#REF!</definedName>
    <definedName name="Z_0E0DE1F8_394A_4093_8E74_B2A631A3A88C_.wvu.FilterData" localSheetId="1" hidden="1">#REF!</definedName>
    <definedName name="Z_0E0DE1F8_394A_4093_8E74_B2A631A3A88C_.wvu.FilterData" localSheetId="2" hidden="1">#REF!</definedName>
    <definedName name="Z_0E0DE1F8_394A_4093_8E74_B2A631A3A88C_.wvu.FilterData" localSheetId="3" hidden="1">#REF!</definedName>
    <definedName name="Z_0E0DE1F8_394A_4093_8E74_B2A631A3A88C_.wvu.FilterData" hidden="1">#REF!</definedName>
    <definedName name="Z_0E0DE1F8_394A_4093_8E74_B2A631A3A88C_.wvu.PrintArea" localSheetId="1" hidden="1">#REF!</definedName>
    <definedName name="Z_0E0DE1F8_394A_4093_8E74_B2A631A3A88C_.wvu.PrintArea" localSheetId="2" hidden="1">#REF!</definedName>
    <definedName name="Z_0E0DE1F8_394A_4093_8E74_B2A631A3A88C_.wvu.PrintArea" localSheetId="3" hidden="1">#REF!</definedName>
    <definedName name="Z_0E0DE1F8_394A_4093_8E74_B2A631A3A88C_.wvu.PrintArea" hidden="1">#REF!</definedName>
    <definedName name="Z_0E0DE1F8_394A_4093_8E74_B2A631A3A88C_.wvu.PrintTitles" localSheetId="1" hidden="1">#REF!</definedName>
    <definedName name="Z_0E0DE1F8_394A_4093_8E74_B2A631A3A88C_.wvu.PrintTitles" localSheetId="2" hidden="1">#REF!</definedName>
    <definedName name="Z_0E0DE1F8_394A_4093_8E74_B2A631A3A88C_.wvu.PrintTitles" localSheetId="3" hidden="1">#REF!</definedName>
    <definedName name="Z_0E0DE1F8_394A_4093_8E74_B2A631A3A88C_.wvu.PrintTitles" hidden="1">#REF!</definedName>
    <definedName name="Z_18C710ED_70CF_48D0_92F5_038A88335068_.wvu.FilterData" localSheetId="1" hidden="1">#REF!</definedName>
    <definedName name="Z_18C710ED_70CF_48D0_92F5_038A88335068_.wvu.FilterData" localSheetId="2" hidden="1">#REF!</definedName>
    <definedName name="Z_18C710ED_70CF_48D0_92F5_038A88335068_.wvu.FilterData" localSheetId="3" hidden="1">#REF!</definedName>
    <definedName name="Z_18C710ED_70CF_48D0_92F5_038A88335068_.wvu.FilterData" hidden="1">#REF!</definedName>
    <definedName name="Z_18C710ED_70CF_48D0_92F5_038A88335068_.wvu.PrintArea" localSheetId="1" hidden="1">#REF!</definedName>
    <definedName name="Z_18C710ED_70CF_48D0_92F5_038A88335068_.wvu.PrintArea" localSheetId="2" hidden="1">#REF!</definedName>
    <definedName name="Z_18C710ED_70CF_48D0_92F5_038A88335068_.wvu.PrintArea" localSheetId="3" hidden="1">#REF!</definedName>
    <definedName name="Z_18C710ED_70CF_48D0_92F5_038A88335068_.wvu.PrintArea" hidden="1">#REF!</definedName>
    <definedName name="Z_18C710ED_70CF_48D0_92F5_038A88335068_.wvu.PrintTitles" localSheetId="1" hidden="1">#REF!</definedName>
    <definedName name="Z_18C710ED_70CF_48D0_92F5_038A88335068_.wvu.PrintTitles" localSheetId="2" hidden="1">#REF!</definedName>
    <definedName name="Z_18C710ED_70CF_48D0_92F5_038A88335068_.wvu.PrintTitles" localSheetId="3" hidden="1">#REF!</definedName>
    <definedName name="Z_18C710ED_70CF_48D0_92F5_038A88335068_.wvu.PrintTitles" hidden="1">#REF!</definedName>
    <definedName name="Z_378D82E8_FE69_4712_AE73_9D578C4190DE_.wvu.FilterData" localSheetId="1" hidden="1">#REF!</definedName>
    <definedName name="Z_378D82E8_FE69_4712_AE73_9D578C4190DE_.wvu.FilterData" localSheetId="2" hidden="1">#REF!</definedName>
    <definedName name="Z_378D82E8_FE69_4712_AE73_9D578C4190DE_.wvu.FilterData" localSheetId="3" hidden="1">#REF!</definedName>
    <definedName name="Z_378D82E8_FE69_4712_AE73_9D578C4190DE_.wvu.FilterData" hidden="1">#REF!</definedName>
    <definedName name="Z_378D82E8_FE69_4712_AE73_9D578C4190DE_.wvu.PrintArea" localSheetId="1" hidden="1">#REF!</definedName>
    <definedName name="Z_378D82E8_FE69_4712_AE73_9D578C4190DE_.wvu.PrintArea" localSheetId="2" hidden="1">#REF!</definedName>
    <definedName name="Z_378D82E8_FE69_4712_AE73_9D578C4190DE_.wvu.PrintArea" localSheetId="3" hidden="1">#REF!</definedName>
    <definedName name="Z_378D82E8_FE69_4712_AE73_9D578C4190DE_.wvu.PrintArea" hidden="1">#REF!</definedName>
    <definedName name="Z_378D82E8_FE69_4712_AE73_9D578C4190DE_.wvu.PrintTitles" localSheetId="1" hidden="1">#REF!</definedName>
    <definedName name="Z_378D82E8_FE69_4712_AE73_9D578C4190DE_.wvu.PrintTitles" localSheetId="2" hidden="1">#REF!</definedName>
    <definedName name="Z_378D82E8_FE69_4712_AE73_9D578C4190DE_.wvu.PrintTitles" localSheetId="3" hidden="1">#REF!</definedName>
    <definedName name="Z_378D82E8_FE69_4712_AE73_9D578C4190DE_.wvu.PrintTitles" hidden="1">#REF!</definedName>
    <definedName name="Z_381FCF61_DF95_4756_B103_A1118DFFDE02_.wvu.FilterData" localSheetId="1" hidden="1">#REF!</definedName>
    <definedName name="Z_381FCF61_DF95_4756_B103_A1118DFFDE02_.wvu.FilterData" localSheetId="2" hidden="1">#REF!</definedName>
    <definedName name="Z_381FCF61_DF95_4756_B103_A1118DFFDE02_.wvu.FilterData" localSheetId="3" hidden="1">#REF!</definedName>
    <definedName name="Z_381FCF61_DF95_4756_B103_A1118DFFDE02_.wvu.FilterData" hidden="1">#REF!</definedName>
    <definedName name="Z_381FCF61_DF95_4756_B103_A1118DFFDE02_.wvu.PrintArea" localSheetId="1" hidden="1">#REF!</definedName>
    <definedName name="Z_381FCF61_DF95_4756_B103_A1118DFFDE02_.wvu.PrintArea" localSheetId="2" hidden="1">#REF!</definedName>
    <definedName name="Z_381FCF61_DF95_4756_B103_A1118DFFDE02_.wvu.PrintArea" localSheetId="3" hidden="1">#REF!</definedName>
    <definedName name="Z_381FCF61_DF95_4756_B103_A1118DFFDE02_.wvu.PrintArea" hidden="1">#REF!</definedName>
    <definedName name="Z_381FCF61_DF95_4756_B103_A1118DFFDE02_.wvu.PrintTitles" localSheetId="1" hidden="1">#REF!</definedName>
    <definedName name="Z_381FCF61_DF95_4756_B103_A1118DFFDE02_.wvu.PrintTitles" localSheetId="2" hidden="1">#REF!</definedName>
    <definedName name="Z_381FCF61_DF95_4756_B103_A1118DFFDE02_.wvu.PrintTitles" localSheetId="3" hidden="1">#REF!</definedName>
    <definedName name="Z_381FCF61_DF95_4756_B103_A1118DFFDE02_.wvu.PrintTitles" hidden="1">#REF!</definedName>
    <definedName name="Z_3B3C0CA1_2A9C_45FD_9823_50B200F6C0D1_.wvu.FilterData" localSheetId="1" hidden="1">#REF!</definedName>
    <definedName name="Z_3B3C0CA1_2A9C_45FD_9823_50B200F6C0D1_.wvu.FilterData" localSheetId="2" hidden="1">#REF!</definedName>
    <definedName name="Z_3B3C0CA1_2A9C_45FD_9823_50B200F6C0D1_.wvu.FilterData" localSheetId="3" hidden="1">#REF!</definedName>
    <definedName name="Z_3B3C0CA1_2A9C_45FD_9823_50B200F6C0D1_.wvu.FilterData" hidden="1">#REF!</definedName>
    <definedName name="Z_3B3C0CA1_2A9C_45FD_9823_50B200F6C0D1_.wvu.PrintArea" localSheetId="1" hidden="1">#REF!</definedName>
    <definedName name="Z_3B3C0CA1_2A9C_45FD_9823_50B200F6C0D1_.wvu.PrintArea" localSheetId="2" hidden="1">#REF!</definedName>
    <definedName name="Z_3B3C0CA1_2A9C_45FD_9823_50B200F6C0D1_.wvu.PrintArea" localSheetId="3" hidden="1">#REF!</definedName>
    <definedName name="Z_3B3C0CA1_2A9C_45FD_9823_50B200F6C0D1_.wvu.PrintArea" hidden="1">#REF!</definedName>
    <definedName name="Z_3B3C0CA1_2A9C_45FD_9823_50B200F6C0D1_.wvu.PrintTitles" localSheetId="1" hidden="1">#REF!</definedName>
    <definedName name="Z_3B3C0CA1_2A9C_45FD_9823_50B200F6C0D1_.wvu.PrintTitles" localSheetId="2" hidden="1">#REF!</definedName>
    <definedName name="Z_3B3C0CA1_2A9C_45FD_9823_50B200F6C0D1_.wvu.PrintTitles" localSheetId="3" hidden="1">#REF!</definedName>
    <definedName name="Z_3B3C0CA1_2A9C_45FD_9823_50B200F6C0D1_.wvu.PrintTitles" hidden="1">#REF!</definedName>
    <definedName name="Z_3E9430E5_6A83_435B_9E47_1B8F7E18D67C_.wvu.FilterData" localSheetId="1" hidden="1">#REF!</definedName>
    <definedName name="Z_3E9430E5_6A83_435B_9E47_1B8F7E18D67C_.wvu.FilterData" localSheetId="2" hidden="1">#REF!</definedName>
    <definedName name="Z_3E9430E5_6A83_435B_9E47_1B8F7E18D67C_.wvu.FilterData" localSheetId="3" hidden="1">#REF!</definedName>
    <definedName name="Z_3E9430E5_6A83_435B_9E47_1B8F7E18D67C_.wvu.FilterData" hidden="1">#REF!</definedName>
    <definedName name="Z_3E9430E5_6A83_435B_9E47_1B8F7E18D67C_.wvu.PrintArea" localSheetId="1" hidden="1">#REF!</definedName>
    <definedName name="Z_3E9430E5_6A83_435B_9E47_1B8F7E18D67C_.wvu.PrintArea" localSheetId="2" hidden="1">#REF!</definedName>
    <definedName name="Z_3E9430E5_6A83_435B_9E47_1B8F7E18D67C_.wvu.PrintArea" localSheetId="3" hidden="1">#REF!</definedName>
    <definedName name="Z_3E9430E5_6A83_435B_9E47_1B8F7E18D67C_.wvu.PrintArea" hidden="1">#REF!</definedName>
    <definedName name="Z_3E9430E5_6A83_435B_9E47_1B8F7E18D67C_.wvu.PrintTitles" localSheetId="1" hidden="1">#REF!</definedName>
    <definedName name="Z_3E9430E5_6A83_435B_9E47_1B8F7E18D67C_.wvu.PrintTitles" localSheetId="2" hidden="1">#REF!</definedName>
    <definedName name="Z_3E9430E5_6A83_435B_9E47_1B8F7E18D67C_.wvu.PrintTitles" localSheetId="3" hidden="1">#REF!</definedName>
    <definedName name="Z_3E9430E5_6A83_435B_9E47_1B8F7E18D67C_.wvu.PrintTitles" hidden="1">#REF!</definedName>
    <definedName name="Z_4A14CB5C_2287_4F6E_9A65_22F0A4D81D81_.wvu.FilterData" localSheetId="1" hidden="1">#REF!</definedName>
    <definedName name="Z_4A14CB5C_2287_4F6E_9A65_22F0A4D81D81_.wvu.FilterData" localSheetId="2" hidden="1">#REF!</definedName>
    <definedName name="Z_4A14CB5C_2287_4F6E_9A65_22F0A4D81D81_.wvu.FilterData" localSheetId="3" hidden="1">#REF!</definedName>
    <definedName name="Z_4A14CB5C_2287_4F6E_9A65_22F0A4D81D81_.wvu.FilterData" hidden="1">#REF!</definedName>
    <definedName name="Z_4A14CB5C_2287_4F6E_9A65_22F0A4D81D81_.wvu.PrintArea" localSheetId="1" hidden="1">#REF!</definedName>
    <definedName name="Z_4A14CB5C_2287_4F6E_9A65_22F0A4D81D81_.wvu.PrintArea" localSheetId="2" hidden="1">#REF!</definedName>
    <definedName name="Z_4A14CB5C_2287_4F6E_9A65_22F0A4D81D81_.wvu.PrintArea" localSheetId="3" hidden="1">#REF!</definedName>
    <definedName name="Z_4A14CB5C_2287_4F6E_9A65_22F0A4D81D81_.wvu.PrintArea" hidden="1">#REF!</definedName>
    <definedName name="Z_4A14CB5C_2287_4F6E_9A65_22F0A4D81D81_.wvu.PrintTitles" localSheetId="1" hidden="1">#REF!</definedName>
    <definedName name="Z_4A14CB5C_2287_4F6E_9A65_22F0A4D81D81_.wvu.PrintTitles" localSheetId="2" hidden="1">#REF!</definedName>
    <definedName name="Z_4A14CB5C_2287_4F6E_9A65_22F0A4D81D81_.wvu.PrintTitles" localSheetId="3" hidden="1">#REF!</definedName>
    <definedName name="Z_4A14CB5C_2287_4F6E_9A65_22F0A4D81D81_.wvu.PrintTitles" hidden="1">#REF!</definedName>
    <definedName name="Z_4BBC24C4_A093_4EC9_8AFF_49C6F602CC39_.wvu.FilterData" localSheetId="1" hidden="1">#REF!</definedName>
    <definedName name="Z_4BBC24C4_A093_4EC9_8AFF_49C6F602CC39_.wvu.FilterData" localSheetId="2" hidden="1">#REF!</definedName>
    <definedName name="Z_4BBC24C4_A093_4EC9_8AFF_49C6F602CC39_.wvu.FilterData" localSheetId="3" hidden="1">#REF!</definedName>
    <definedName name="Z_4BBC24C4_A093_4EC9_8AFF_49C6F602CC39_.wvu.FilterData" hidden="1">#REF!</definedName>
    <definedName name="Z_4BBC24C4_A093_4EC9_8AFF_49C6F602CC39_.wvu.PrintArea" localSheetId="1" hidden="1">#REF!</definedName>
    <definedName name="Z_4BBC24C4_A093_4EC9_8AFF_49C6F602CC39_.wvu.PrintArea" localSheetId="2" hidden="1">#REF!</definedName>
    <definedName name="Z_4BBC24C4_A093_4EC9_8AFF_49C6F602CC39_.wvu.PrintArea" localSheetId="3" hidden="1">#REF!</definedName>
    <definedName name="Z_4BBC24C4_A093_4EC9_8AFF_49C6F602CC39_.wvu.PrintArea" hidden="1">#REF!</definedName>
    <definedName name="Z_4BBC24C4_A093_4EC9_8AFF_49C6F602CC39_.wvu.PrintTitles" localSheetId="1" hidden="1">#REF!</definedName>
    <definedName name="Z_4BBC24C4_A093_4EC9_8AFF_49C6F602CC39_.wvu.PrintTitles" localSheetId="2" hidden="1">#REF!</definedName>
    <definedName name="Z_4BBC24C4_A093_4EC9_8AFF_49C6F602CC39_.wvu.PrintTitles" localSheetId="3" hidden="1">#REF!</definedName>
    <definedName name="Z_4BBC24C4_A093_4EC9_8AFF_49C6F602CC39_.wvu.PrintTitles" hidden="1">#REF!</definedName>
    <definedName name="Z_504A8F9D_2C46_439E_975A_DF1C1FA56E7B_.wvu.FilterData" localSheetId="1" hidden="1">#REF!</definedName>
    <definedName name="Z_504A8F9D_2C46_439E_975A_DF1C1FA56E7B_.wvu.FilterData" localSheetId="2" hidden="1">#REF!</definedName>
    <definedName name="Z_504A8F9D_2C46_439E_975A_DF1C1FA56E7B_.wvu.FilterData" localSheetId="3" hidden="1">#REF!</definedName>
    <definedName name="Z_504A8F9D_2C46_439E_975A_DF1C1FA56E7B_.wvu.FilterData" hidden="1">#REF!</definedName>
    <definedName name="Z_504A8F9D_2C46_439E_975A_DF1C1FA56E7B_.wvu.PrintArea" localSheetId="1" hidden="1">#REF!</definedName>
    <definedName name="Z_504A8F9D_2C46_439E_975A_DF1C1FA56E7B_.wvu.PrintArea" localSheetId="2" hidden="1">#REF!</definedName>
    <definedName name="Z_504A8F9D_2C46_439E_975A_DF1C1FA56E7B_.wvu.PrintArea" localSheetId="3" hidden="1">#REF!</definedName>
    <definedName name="Z_504A8F9D_2C46_439E_975A_DF1C1FA56E7B_.wvu.PrintArea" hidden="1">#REF!</definedName>
    <definedName name="Z_504A8F9D_2C46_439E_975A_DF1C1FA56E7B_.wvu.PrintTitles" localSheetId="1" hidden="1">#REF!</definedName>
    <definedName name="Z_504A8F9D_2C46_439E_975A_DF1C1FA56E7B_.wvu.PrintTitles" localSheetId="2" hidden="1">#REF!</definedName>
    <definedName name="Z_504A8F9D_2C46_439E_975A_DF1C1FA56E7B_.wvu.PrintTitles" localSheetId="3" hidden="1">#REF!</definedName>
    <definedName name="Z_504A8F9D_2C46_439E_975A_DF1C1FA56E7B_.wvu.PrintTitles" hidden="1">#REF!</definedName>
    <definedName name="Z_653348E7_CDAD_4F62_A236_641A4BB6425A_.wvu.FilterData" localSheetId="1" hidden="1">#REF!</definedName>
    <definedName name="Z_653348E7_CDAD_4F62_A236_641A4BB6425A_.wvu.FilterData" localSheetId="2" hidden="1">#REF!</definedName>
    <definedName name="Z_653348E7_CDAD_4F62_A236_641A4BB6425A_.wvu.FilterData" localSheetId="3" hidden="1">#REF!</definedName>
    <definedName name="Z_653348E7_CDAD_4F62_A236_641A4BB6425A_.wvu.FilterData" hidden="1">#REF!</definedName>
    <definedName name="Z_653348E7_CDAD_4F62_A236_641A4BB6425A_.wvu.PrintArea" localSheetId="1" hidden="1">#REF!</definedName>
    <definedName name="Z_653348E7_CDAD_4F62_A236_641A4BB6425A_.wvu.PrintArea" localSheetId="2" hidden="1">#REF!</definedName>
    <definedName name="Z_653348E7_CDAD_4F62_A236_641A4BB6425A_.wvu.PrintArea" localSheetId="3" hidden="1">#REF!</definedName>
    <definedName name="Z_653348E7_CDAD_4F62_A236_641A4BB6425A_.wvu.PrintArea" hidden="1">#REF!</definedName>
    <definedName name="Z_653348E7_CDAD_4F62_A236_641A4BB6425A_.wvu.PrintTitles" localSheetId="1" hidden="1">#REF!</definedName>
    <definedName name="Z_653348E7_CDAD_4F62_A236_641A4BB6425A_.wvu.PrintTitles" localSheetId="2" hidden="1">#REF!</definedName>
    <definedName name="Z_653348E7_CDAD_4F62_A236_641A4BB6425A_.wvu.PrintTitles" localSheetId="3" hidden="1">#REF!</definedName>
    <definedName name="Z_653348E7_CDAD_4F62_A236_641A4BB6425A_.wvu.PrintTitles" hidden="1">#REF!</definedName>
    <definedName name="Z_68C48519_C8C2_4287_96F6_0F561F815CE8_.wvu.FilterData" localSheetId="1" hidden="1">#REF!</definedName>
    <definedName name="Z_68C48519_C8C2_4287_96F6_0F561F815CE8_.wvu.FilterData" localSheetId="2" hidden="1">#REF!</definedName>
    <definedName name="Z_68C48519_C8C2_4287_96F6_0F561F815CE8_.wvu.FilterData" localSheetId="3" hidden="1">#REF!</definedName>
    <definedName name="Z_68C48519_C8C2_4287_96F6_0F561F815CE8_.wvu.FilterData" hidden="1">#REF!</definedName>
    <definedName name="Z_68C48519_C8C2_4287_96F6_0F561F815CE8_.wvu.PrintArea" localSheetId="1" hidden="1">#REF!</definedName>
    <definedName name="Z_68C48519_C8C2_4287_96F6_0F561F815CE8_.wvu.PrintArea" localSheetId="2" hidden="1">#REF!</definedName>
    <definedName name="Z_68C48519_C8C2_4287_96F6_0F561F815CE8_.wvu.PrintArea" localSheetId="3" hidden="1">#REF!</definedName>
    <definedName name="Z_68C48519_C8C2_4287_96F6_0F561F815CE8_.wvu.PrintArea" hidden="1">#REF!</definedName>
    <definedName name="Z_68C48519_C8C2_4287_96F6_0F561F815CE8_.wvu.PrintTitles" localSheetId="1" hidden="1">#REF!</definedName>
    <definedName name="Z_68C48519_C8C2_4287_96F6_0F561F815CE8_.wvu.PrintTitles" localSheetId="2" hidden="1">#REF!</definedName>
    <definedName name="Z_68C48519_C8C2_4287_96F6_0F561F815CE8_.wvu.PrintTitles" localSheetId="3" hidden="1">#REF!</definedName>
    <definedName name="Z_68C48519_C8C2_4287_96F6_0F561F815CE8_.wvu.PrintTitles" hidden="1">#REF!</definedName>
    <definedName name="Z_6BA141F2_E104_11DA_B6F6_00609720E0A1_.wvu.FilterData" localSheetId="1" hidden="1">#REF!</definedName>
    <definedName name="Z_6BA141F2_E104_11DA_B6F6_00609720E0A1_.wvu.FilterData" localSheetId="2" hidden="1">#REF!</definedName>
    <definedName name="Z_6BA141F2_E104_11DA_B6F6_00609720E0A1_.wvu.FilterData" localSheetId="3" hidden="1">#REF!</definedName>
    <definedName name="Z_6BA141F2_E104_11DA_B6F6_00609720E0A1_.wvu.FilterData" hidden="1">#REF!</definedName>
    <definedName name="Z_6BA141F2_E104_11DA_B6F6_00609720E0A1_.wvu.PrintArea" localSheetId="1" hidden="1">#REF!</definedName>
    <definedName name="Z_6BA141F2_E104_11DA_B6F6_00609720E0A1_.wvu.PrintArea" localSheetId="2" hidden="1">#REF!</definedName>
    <definedName name="Z_6BA141F2_E104_11DA_B6F6_00609720E0A1_.wvu.PrintArea" localSheetId="3" hidden="1">#REF!</definedName>
    <definedName name="Z_6BA141F2_E104_11DA_B6F6_00609720E0A1_.wvu.PrintArea" hidden="1">#REF!</definedName>
    <definedName name="Z_6BA141F2_E104_11DA_B6F6_00609720E0A1_.wvu.PrintTitles" localSheetId="1" hidden="1">#REF!</definedName>
    <definedName name="Z_6BA141F2_E104_11DA_B6F6_00609720E0A1_.wvu.PrintTitles" localSheetId="2" hidden="1">#REF!</definedName>
    <definedName name="Z_6BA141F2_E104_11DA_B6F6_00609720E0A1_.wvu.PrintTitles" localSheetId="3" hidden="1">#REF!</definedName>
    <definedName name="Z_6BA141F2_E104_11DA_B6F6_00609720E0A1_.wvu.PrintTitles" hidden="1">#REF!</definedName>
    <definedName name="Z_6BA141F3_E104_11DA_B6F6_00609720E0A1_.wvu.FilterData" localSheetId="1" hidden="1">#REF!</definedName>
    <definedName name="Z_6BA141F3_E104_11DA_B6F6_00609720E0A1_.wvu.FilterData" localSheetId="2" hidden="1">#REF!</definedName>
    <definedName name="Z_6BA141F3_E104_11DA_B6F6_00609720E0A1_.wvu.FilterData" localSheetId="3" hidden="1">#REF!</definedName>
    <definedName name="Z_6BA141F3_E104_11DA_B6F6_00609720E0A1_.wvu.FilterData" hidden="1">#REF!</definedName>
    <definedName name="Z_6BA141F3_E104_11DA_B6F6_00609720E0A1_.wvu.PrintArea" localSheetId="1" hidden="1">#REF!</definedName>
    <definedName name="Z_6BA141F3_E104_11DA_B6F6_00609720E0A1_.wvu.PrintArea" localSheetId="2" hidden="1">#REF!</definedName>
    <definedName name="Z_6BA141F3_E104_11DA_B6F6_00609720E0A1_.wvu.PrintArea" localSheetId="3" hidden="1">#REF!</definedName>
    <definedName name="Z_6BA141F3_E104_11DA_B6F6_00609720E0A1_.wvu.PrintArea" hidden="1">#REF!</definedName>
    <definedName name="Z_6BA141F3_E104_11DA_B6F6_00609720E0A1_.wvu.PrintTitles" localSheetId="1" hidden="1">#REF!</definedName>
    <definedName name="Z_6BA141F3_E104_11DA_B6F6_00609720E0A1_.wvu.PrintTitles" localSheetId="2" hidden="1">#REF!</definedName>
    <definedName name="Z_6BA141F3_E104_11DA_B6F6_00609720E0A1_.wvu.PrintTitles" localSheetId="3" hidden="1">#REF!</definedName>
    <definedName name="Z_6BA141F3_E104_11DA_B6F6_00609720E0A1_.wvu.PrintTitles" hidden="1">#REF!</definedName>
    <definedName name="Z_6BA141F4_E104_11DA_B6F6_00609720E0A1_.wvu.FilterData" localSheetId="1" hidden="1">#REF!</definedName>
    <definedName name="Z_6BA141F4_E104_11DA_B6F6_00609720E0A1_.wvu.FilterData" localSheetId="2" hidden="1">#REF!</definedName>
    <definedName name="Z_6BA141F4_E104_11DA_B6F6_00609720E0A1_.wvu.FilterData" localSheetId="3" hidden="1">#REF!</definedName>
    <definedName name="Z_6BA141F4_E104_11DA_B6F6_00609720E0A1_.wvu.FilterData" hidden="1">#REF!</definedName>
    <definedName name="Z_6BA141F4_E104_11DA_B6F6_00609720E0A1_.wvu.PrintArea" localSheetId="1" hidden="1">#REF!</definedName>
    <definedName name="Z_6BA141F4_E104_11DA_B6F6_00609720E0A1_.wvu.PrintArea" localSheetId="2" hidden="1">#REF!</definedName>
    <definedName name="Z_6BA141F4_E104_11DA_B6F6_00609720E0A1_.wvu.PrintArea" localSheetId="3" hidden="1">#REF!</definedName>
    <definedName name="Z_6BA141F4_E104_11DA_B6F6_00609720E0A1_.wvu.PrintArea" hidden="1">#REF!</definedName>
    <definedName name="Z_6BA141F4_E104_11DA_B6F6_00609720E0A1_.wvu.PrintTitles" localSheetId="1" hidden="1">#REF!</definedName>
    <definedName name="Z_6BA141F4_E104_11DA_B6F6_00609720E0A1_.wvu.PrintTitles" localSheetId="2" hidden="1">#REF!</definedName>
    <definedName name="Z_6BA141F4_E104_11DA_B6F6_00609720E0A1_.wvu.PrintTitles" localSheetId="3" hidden="1">#REF!</definedName>
    <definedName name="Z_6BA141F4_E104_11DA_B6F6_00609720E0A1_.wvu.PrintTitles" hidden="1">#REF!</definedName>
    <definedName name="Z_6BA141F5_E104_11DA_B6F6_00609720E0A1_.wvu.FilterData" localSheetId="1" hidden="1">#REF!</definedName>
    <definedName name="Z_6BA141F5_E104_11DA_B6F6_00609720E0A1_.wvu.FilterData" localSheetId="2" hidden="1">#REF!</definedName>
    <definedName name="Z_6BA141F5_E104_11DA_B6F6_00609720E0A1_.wvu.FilterData" localSheetId="3" hidden="1">#REF!</definedName>
    <definedName name="Z_6BA141F5_E104_11DA_B6F6_00609720E0A1_.wvu.FilterData" hidden="1">#REF!</definedName>
    <definedName name="Z_6BA141F5_E104_11DA_B6F6_00609720E0A1_.wvu.PrintArea" localSheetId="1" hidden="1">#REF!</definedName>
    <definedName name="Z_6BA141F5_E104_11DA_B6F6_00609720E0A1_.wvu.PrintArea" localSheetId="2" hidden="1">#REF!</definedName>
    <definedName name="Z_6BA141F5_E104_11DA_B6F6_00609720E0A1_.wvu.PrintArea" localSheetId="3" hidden="1">#REF!</definedName>
    <definedName name="Z_6BA141F5_E104_11DA_B6F6_00609720E0A1_.wvu.PrintArea" hidden="1">#REF!</definedName>
    <definedName name="Z_6BA141F5_E104_11DA_B6F6_00609720E0A1_.wvu.PrintTitles" localSheetId="1" hidden="1">#REF!</definedName>
    <definedName name="Z_6BA141F5_E104_11DA_B6F6_00609720E0A1_.wvu.PrintTitles" localSheetId="2" hidden="1">#REF!</definedName>
    <definedName name="Z_6BA141F5_E104_11DA_B6F6_00609720E0A1_.wvu.PrintTitles" localSheetId="3" hidden="1">#REF!</definedName>
    <definedName name="Z_6BA141F5_E104_11DA_B6F6_00609720E0A1_.wvu.PrintTitles" hidden="1">#REF!</definedName>
    <definedName name="Z_6BA141F6_E104_11DA_B6F6_00609720E0A1_.wvu.FilterData" localSheetId="1" hidden="1">#REF!</definedName>
    <definedName name="Z_6BA141F6_E104_11DA_B6F6_00609720E0A1_.wvu.FilterData" localSheetId="2" hidden="1">#REF!</definedName>
    <definedName name="Z_6BA141F6_E104_11DA_B6F6_00609720E0A1_.wvu.FilterData" localSheetId="3" hidden="1">#REF!</definedName>
    <definedName name="Z_6BA141F6_E104_11DA_B6F6_00609720E0A1_.wvu.FilterData" hidden="1">#REF!</definedName>
    <definedName name="Z_6BA141F6_E104_11DA_B6F6_00609720E0A1_.wvu.PrintArea" localSheetId="1" hidden="1">#REF!</definedName>
    <definedName name="Z_6BA141F6_E104_11DA_B6F6_00609720E0A1_.wvu.PrintArea" localSheetId="2" hidden="1">#REF!</definedName>
    <definedName name="Z_6BA141F6_E104_11DA_B6F6_00609720E0A1_.wvu.PrintArea" localSheetId="3" hidden="1">#REF!</definedName>
    <definedName name="Z_6BA141F6_E104_11DA_B6F6_00609720E0A1_.wvu.PrintArea" hidden="1">#REF!</definedName>
    <definedName name="Z_6BA141F6_E104_11DA_B6F6_00609720E0A1_.wvu.PrintTitles" localSheetId="1" hidden="1">#REF!</definedName>
    <definedName name="Z_6BA141F6_E104_11DA_B6F6_00609720E0A1_.wvu.PrintTitles" localSheetId="2" hidden="1">#REF!</definedName>
    <definedName name="Z_6BA141F6_E104_11DA_B6F6_00609720E0A1_.wvu.PrintTitles" localSheetId="3" hidden="1">#REF!</definedName>
    <definedName name="Z_6BA141F6_E104_11DA_B6F6_00609720E0A1_.wvu.PrintTitles" hidden="1">#REF!</definedName>
    <definedName name="Z_726673D2_C579_4EF3_83C7_45DC3792EA6A_.wvu.FilterData" localSheetId="1" hidden="1">#REF!</definedName>
    <definedName name="Z_726673D2_C579_4EF3_83C7_45DC3792EA6A_.wvu.FilterData" localSheetId="2" hidden="1">#REF!</definedName>
    <definedName name="Z_726673D2_C579_4EF3_83C7_45DC3792EA6A_.wvu.FilterData" localSheetId="3" hidden="1">#REF!</definedName>
    <definedName name="Z_726673D2_C579_4EF3_83C7_45DC3792EA6A_.wvu.FilterData" hidden="1">#REF!</definedName>
    <definedName name="Z_726673D2_C579_4EF3_83C7_45DC3792EA6A_.wvu.PrintArea" localSheetId="1" hidden="1">#REF!</definedName>
    <definedName name="Z_726673D2_C579_4EF3_83C7_45DC3792EA6A_.wvu.PrintArea" localSheetId="2" hidden="1">#REF!</definedName>
    <definedName name="Z_726673D2_C579_4EF3_83C7_45DC3792EA6A_.wvu.PrintArea" localSheetId="3" hidden="1">#REF!</definedName>
    <definedName name="Z_726673D2_C579_4EF3_83C7_45DC3792EA6A_.wvu.PrintArea" hidden="1">#REF!</definedName>
    <definedName name="Z_726673D2_C579_4EF3_83C7_45DC3792EA6A_.wvu.PrintTitles" localSheetId="1" hidden="1">#REF!</definedName>
    <definedName name="Z_726673D2_C579_4EF3_83C7_45DC3792EA6A_.wvu.PrintTitles" localSheetId="2" hidden="1">#REF!</definedName>
    <definedName name="Z_726673D2_C579_4EF3_83C7_45DC3792EA6A_.wvu.PrintTitles" localSheetId="3" hidden="1">#REF!</definedName>
    <definedName name="Z_726673D2_C579_4EF3_83C7_45DC3792EA6A_.wvu.PrintTitles" hidden="1">#REF!</definedName>
    <definedName name="Z_729969D8_DFDA_47B9_ADA2_E05CF62B3DEF_.wvu.FilterData" localSheetId="1" hidden="1">#REF!</definedName>
    <definedName name="Z_729969D8_DFDA_47B9_ADA2_E05CF62B3DEF_.wvu.FilterData" localSheetId="2" hidden="1">#REF!</definedName>
    <definedName name="Z_729969D8_DFDA_47B9_ADA2_E05CF62B3DEF_.wvu.FilterData" localSheetId="3" hidden="1">#REF!</definedName>
    <definedName name="Z_729969D8_DFDA_47B9_ADA2_E05CF62B3DEF_.wvu.FilterData" hidden="1">#REF!</definedName>
    <definedName name="Z_729969D8_DFDA_47B9_ADA2_E05CF62B3DEF_.wvu.PrintArea" localSheetId="1" hidden="1">#REF!</definedName>
    <definedName name="Z_729969D8_DFDA_47B9_ADA2_E05CF62B3DEF_.wvu.PrintArea" localSheetId="2" hidden="1">#REF!</definedName>
    <definedName name="Z_729969D8_DFDA_47B9_ADA2_E05CF62B3DEF_.wvu.PrintArea" localSheetId="3" hidden="1">#REF!</definedName>
    <definedName name="Z_729969D8_DFDA_47B9_ADA2_E05CF62B3DEF_.wvu.PrintArea" hidden="1">#REF!</definedName>
    <definedName name="Z_729969D8_DFDA_47B9_ADA2_E05CF62B3DEF_.wvu.PrintTitles" localSheetId="1" hidden="1">#REF!</definedName>
    <definedName name="Z_729969D8_DFDA_47B9_ADA2_E05CF62B3DEF_.wvu.PrintTitles" localSheetId="2" hidden="1">#REF!</definedName>
    <definedName name="Z_729969D8_DFDA_47B9_ADA2_E05CF62B3DEF_.wvu.PrintTitles" localSheetId="3" hidden="1">#REF!</definedName>
    <definedName name="Z_729969D8_DFDA_47B9_ADA2_E05CF62B3DEF_.wvu.PrintTitles" hidden="1">#REF!</definedName>
    <definedName name="Z_75EDDC88_CA8C_4671_911D_25D74F37EC47_.wvu.FilterData" localSheetId="1" hidden="1">#REF!</definedName>
    <definedName name="Z_75EDDC88_CA8C_4671_911D_25D74F37EC47_.wvu.FilterData" localSheetId="2" hidden="1">#REF!</definedName>
    <definedName name="Z_75EDDC88_CA8C_4671_911D_25D74F37EC47_.wvu.FilterData" localSheetId="3" hidden="1">#REF!</definedName>
    <definedName name="Z_75EDDC88_CA8C_4671_911D_25D74F37EC47_.wvu.FilterData" hidden="1">#REF!</definedName>
    <definedName name="Z_75EDDC88_CA8C_4671_911D_25D74F37EC47_.wvu.PrintArea" localSheetId="1" hidden="1">#REF!</definedName>
    <definedName name="Z_75EDDC88_CA8C_4671_911D_25D74F37EC47_.wvu.PrintArea" localSheetId="2" hidden="1">#REF!</definedName>
    <definedName name="Z_75EDDC88_CA8C_4671_911D_25D74F37EC47_.wvu.PrintArea" localSheetId="3" hidden="1">#REF!</definedName>
    <definedName name="Z_75EDDC88_CA8C_4671_911D_25D74F37EC47_.wvu.PrintArea" hidden="1">#REF!</definedName>
    <definedName name="Z_75EDDC88_CA8C_4671_911D_25D74F37EC47_.wvu.PrintTitles" localSheetId="1" hidden="1">#REF!</definedName>
    <definedName name="Z_75EDDC88_CA8C_4671_911D_25D74F37EC47_.wvu.PrintTitles" localSheetId="2" hidden="1">#REF!</definedName>
    <definedName name="Z_75EDDC88_CA8C_4671_911D_25D74F37EC47_.wvu.PrintTitles" localSheetId="3" hidden="1">#REF!</definedName>
    <definedName name="Z_75EDDC88_CA8C_4671_911D_25D74F37EC47_.wvu.PrintTitles" hidden="1">#REF!</definedName>
    <definedName name="Z_80573755_2D8B_4158_BD3A_CC331B950748_.wvu.FilterData" localSheetId="1" hidden="1">#REF!</definedName>
    <definedName name="Z_80573755_2D8B_4158_BD3A_CC331B950748_.wvu.FilterData" localSheetId="2" hidden="1">#REF!</definedName>
    <definedName name="Z_80573755_2D8B_4158_BD3A_CC331B950748_.wvu.FilterData" localSheetId="3" hidden="1">#REF!</definedName>
    <definedName name="Z_80573755_2D8B_4158_BD3A_CC331B950748_.wvu.FilterData" hidden="1">#REF!</definedName>
    <definedName name="Z_80573755_2D8B_4158_BD3A_CC331B950748_.wvu.PrintArea" localSheetId="1" hidden="1">#REF!</definedName>
    <definedName name="Z_80573755_2D8B_4158_BD3A_CC331B950748_.wvu.PrintArea" localSheetId="2" hidden="1">#REF!</definedName>
    <definedName name="Z_80573755_2D8B_4158_BD3A_CC331B950748_.wvu.PrintArea" localSheetId="3" hidden="1">#REF!</definedName>
    <definedName name="Z_80573755_2D8B_4158_BD3A_CC331B950748_.wvu.PrintArea" hidden="1">#REF!</definedName>
    <definedName name="Z_80573755_2D8B_4158_BD3A_CC331B950748_.wvu.PrintTitles" localSheetId="1" hidden="1">#REF!</definedName>
    <definedName name="Z_80573755_2D8B_4158_BD3A_CC331B950748_.wvu.PrintTitles" localSheetId="2" hidden="1">#REF!</definedName>
    <definedName name="Z_80573755_2D8B_4158_BD3A_CC331B950748_.wvu.PrintTitles" localSheetId="3" hidden="1">#REF!</definedName>
    <definedName name="Z_80573755_2D8B_4158_BD3A_CC331B950748_.wvu.PrintTitles" hidden="1">#REF!</definedName>
    <definedName name="Z_9C7B0D6D_4DDE_4C72_B23F_2E183F63ECB1_.wvu.FilterData" localSheetId="1" hidden="1">#REF!</definedName>
    <definedName name="Z_9C7B0D6D_4DDE_4C72_B23F_2E183F63ECB1_.wvu.FilterData" localSheetId="2" hidden="1">#REF!</definedName>
    <definedName name="Z_9C7B0D6D_4DDE_4C72_B23F_2E183F63ECB1_.wvu.FilterData" localSheetId="3" hidden="1">#REF!</definedName>
    <definedName name="Z_9C7B0D6D_4DDE_4C72_B23F_2E183F63ECB1_.wvu.FilterData" hidden="1">#REF!</definedName>
    <definedName name="Z_9C7B0D6D_4DDE_4C72_B23F_2E183F63ECB1_.wvu.PrintArea" localSheetId="1" hidden="1">#REF!</definedName>
    <definedName name="Z_9C7B0D6D_4DDE_4C72_B23F_2E183F63ECB1_.wvu.PrintArea" localSheetId="2" hidden="1">#REF!</definedName>
    <definedName name="Z_9C7B0D6D_4DDE_4C72_B23F_2E183F63ECB1_.wvu.PrintArea" localSheetId="3" hidden="1">#REF!</definedName>
    <definedName name="Z_9C7B0D6D_4DDE_4C72_B23F_2E183F63ECB1_.wvu.PrintArea" hidden="1">#REF!</definedName>
    <definedName name="Z_9C7B0D6D_4DDE_4C72_B23F_2E183F63ECB1_.wvu.PrintTitles" localSheetId="1" hidden="1">#REF!</definedName>
    <definedName name="Z_9C7B0D6D_4DDE_4C72_B23F_2E183F63ECB1_.wvu.PrintTitles" localSheetId="2" hidden="1">#REF!</definedName>
    <definedName name="Z_9C7B0D6D_4DDE_4C72_B23F_2E183F63ECB1_.wvu.PrintTitles" localSheetId="3" hidden="1">#REF!</definedName>
    <definedName name="Z_9C7B0D6D_4DDE_4C72_B23F_2E183F63ECB1_.wvu.PrintTitles" hidden="1">#REF!</definedName>
    <definedName name="Z_9C8B6436_249F_426A_96DC_EEE5E7CB7D1B_.wvu.FilterData" localSheetId="1" hidden="1">#REF!</definedName>
    <definedName name="Z_9C8B6436_249F_426A_96DC_EEE5E7CB7D1B_.wvu.FilterData" localSheetId="2" hidden="1">#REF!</definedName>
    <definedName name="Z_9C8B6436_249F_426A_96DC_EEE5E7CB7D1B_.wvu.FilterData" localSheetId="3" hidden="1">#REF!</definedName>
    <definedName name="Z_9C8B6436_249F_426A_96DC_EEE5E7CB7D1B_.wvu.FilterData" hidden="1">#REF!</definedName>
    <definedName name="Z_9C8B6436_249F_426A_96DC_EEE5E7CB7D1B_.wvu.PrintArea" localSheetId="1" hidden="1">#REF!</definedName>
    <definedName name="Z_9C8B6436_249F_426A_96DC_EEE5E7CB7D1B_.wvu.PrintArea" localSheetId="2" hidden="1">#REF!</definedName>
    <definedName name="Z_9C8B6436_249F_426A_96DC_EEE5E7CB7D1B_.wvu.PrintArea" localSheetId="3" hidden="1">#REF!</definedName>
    <definedName name="Z_9C8B6436_249F_426A_96DC_EEE5E7CB7D1B_.wvu.PrintArea" hidden="1">#REF!</definedName>
    <definedName name="Z_9C8B6436_249F_426A_96DC_EEE5E7CB7D1B_.wvu.PrintTitles" localSheetId="1" hidden="1">#REF!</definedName>
    <definedName name="Z_9C8B6436_249F_426A_96DC_EEE5E7CB7D1B_.wvu.PrintTitles" localSheetId="2" hidden="1">#REF!</definedName>
    <definedName name="Z_9C8B6436_249F_426A_96DC_EEE5E7CB7D1B_.wvu.PrintTitles" localSheetId="3" hidden="1">#REF!</definedName>
    <definedName name="Z_9C8B6436_249F_426A_96DC_EEE5E7CB7D1B_.wvu.PrintTitles" hidden="1">#REF!</definedName>
    <definedName name="Z_9FCFD0D5_270B_4F36_B422_02EF7A3700B8_.wvu.FilterData" localSheetId="1" hidden="1">#REF!</definedName>
    <definedName name="Z_9FCFD0D5_270B_4F36_B422_02EF7A3700B8_.wvu.FilterData" localSheetId="2" hidden="1">#REF!</definedName>
    <definedName name="Z_9FCFD0D5_270B_4F36_B422_02EF7A3700B8_.wvu.FilterData" localSheetId="3" hidden="1">#REF!</definedName>
    <definedName name="Z_9FCFD0D5_270B_4F36_B422_02EF7A3700B8_.wvu.FilterData" hidden="1">#REF!</definedName>
    <definedName name="Z_9FCFD0D5_270B_4F36_B422_02EF7A3700B8_.wvu.PrintArea" localSheetId="1" hidden="1">#REF!</definedName>
    <definedName name="Z_9FCFD0D5_270B_4F36_B422_02EF7A3700B8_.wvu.PrintArea" localSheetId="2" hidden="1">#REF!</definedName>
    <definedName name="Z_9FCFD0D5_270B_4F36_B422_02EF7A3700B8_.wvu.PrintArea" localSheetId="3" hidden="1">#REF!</definedName>
    <definedName name="Z_9FCFD0D5_270B_4F36_B422_02EF7A3700B8_.wvu.PrintArea" hidden="1">#REF!</definedName>
    <definedName name="Z_9FCFD0D5_270B_4F36_B422_02EF7A3700B8_.wvu.PrintTitles" localSheetId="1" hidden="1">#REF!</definedName>
    <definedName name="Z_9FCFD0D5_270B_4F36_B422_02EF7A3700B8_.wvu.PrintTitles" localSheetId="2" hidden="1">#REF!</definedName>
    <definedName name="Z_9FCFD0D5_270B_4F36_B422_02EF7A3700B8_.wvu.PrintTitles" localSheetId="3" hidden="1">#REF!</definedName>
    <definedName name="Z_9FCFD0D5_270B_4F36_B422_02EF7A3700B8_.wvu.PrintTitles" hidden="1">#REF!</definedName>
    <definedName name="Z_9FE8FF3F_4486_44D6_9AFB_43CC5B824BF9_.wvu.FilterData" localSheetId="1" hidden="1">#REF!</definedName>
    <definedName name="Z_9FE8FF3F_4486_44D6_9AFB_43CC5B824BF9_.wvu.FilterData" localSheetId="2" hidden="1">#REF!</definedName>
    <definedName name="Z_9FE8FF3F_4486_44D6_9AFB_43CC5B824BF9_.wvu.FilterData" localSheetId="3" hidden="1">#REF!</definedName>
    <definedName name="Z_9FE8FF3F_4486_44D6_9AFB_43CC5B824BF9_.wvu.FilterData" hidden="1">#REF!</definedName>
    <definedName name="Z_9FE8FF3F_4486_44D6_9AFB_43CC5B824BF9_.wvu.PrintArea" localSheetId="1" hidden="1">#REF!</definedName>
    <definedName name="Z_9FE8FF3F_4486_44D6_9AFB_43CC5B824BF9_.wvu.PrintArea" localSheetId="2" hidden="1">#REF!</definedName>
    <definedName name="Z_9FE8FF3F_4486_44D6_9AFB_43CC5B824BF9_.wvu.PrintArea" localSheetId="3" hidden="1">#REF!</definedName>
    <definedName name="Z_9FE8FF3F_4486_44D6_9AFB_43CC5B824BF9_.wvu.PrintArea" hidden="1">#REF!</definedName>
    <definedName name="Z_9FE8FF3F_4486_44D6_9AFB_43CC5B824BF9_.wvu.PrintTitles" localSheetId="1" hidden="1">#REF!</definedName>
    <definedName name="Z_9FE8FF3F_4486_44D6_9AFB_43CC5B824BF9_.wvu.PrintTitles" localSheetId="2" hidden="1">#REF!</definedName>
    <definedName name="Z_9FE8FF3F_4486_44D6_9AFB_43CC5B824BF9_.wvu.PrintTitles" localSheetId="3" hidden="1">#REF!</definedName>
    <definedName name="Z_9FE8FF3F_4486_44D6_9AFB_43CC5B824BF9_.wvu.PrintTitles" hidden="1">#REF!</definedName>
    <definedName name="Z_A3DE26BA_CF48_4654_9BE9_FAEB3C301C95_.wvu.FilterData" localSheetId="1" hidden="1">#REF!</definedName>
    <definedName name="Z_A3DE26BA_CF48_4654_9BE9_FAEB3C301C95_.wvu.FilterData" localSheetId="2" hidden="1">#REF!</definedName>
    <definedName name="Z_A3DE26BA_CF48_4654_9BE9_FAEB3C301C95_.wvu.FilterData" localSheetId="3" hidden="1">#REF!</definedName>
    <definedName name="Z_A3DE26BA_CF48_4654_9BE9_FAEB3C301C95_.wvu.FilterData" hidden="1">#REF!</definedName>
    <definedName name="Z_A3DE26BA_CF48_4654_9BE9_FAEB3C301C95_.wvu.PrintArea" localSheetId="1" hidden="1">#REF!</definedName>
    <definedName name="Z_A3DE26BA_CF48_4654_9BE9_FAEB3C301C95_.wvu.PrintArea" localSheetId="2" hidden="1">#REF!</definedName>
    <definedName name="Z_A3DE26BA_CF48_4654_9BE9_FAEB3C301C95_.wvu.PrintArea" localSheetId="3" hidden="1">#REF!</definedName>
    <definedName name="Z_A3DE26BA_CF48_4654_9BE9_FAEB3C301C95_.wvu.PrintArea" hidden="1">#REF!</definedName>
    <definedName name="Z_A3DE26BA_CF48_4654_9BE9_FAEB3C301C95_.wvu.PrintTitles" localSheetId="1" hidden="1">#REF!</definedName>
    <definedName name="Z_A3DE26BA_CF48_4654_9BE9_FAEB3C301C95_.wvu.PrintTitles" localSheetId="2" hidden="1">#REF!</definedName>
    <definedName name="Z_A3DE26BA_CF48_4654_9BE9_FAEB3C301C95_.wvu.PrintTitles" localSheetId="3" hidden="1">#REF!</definedName>
    <definedName name="Z_A3DE26BA_CF48_4654_9BE9_FAEB3C301C95_.wvu.PrintTitles" hidden="1">#REF!</definedName>
    <definedName name="Z_AAA1DD33_F1E3_423A_B1F2_E8567F4D95A5_.wvu.FilterData" localSheetId="1" hidden="1">#REF!</definedName>
    <definedName name="Z_AAA1DD33_F1E3_423A_B1F2_E8567F4D95A5_.wvu.FilterData" localSheetId="2" hidden="1">#REF!</definedName>
    <definedName name="Z_AAA1DD33_F1E3_423A_B1F2_E8567F4D95A5_.wvu.FilterData" localSheetId="3" hidden="1">#REF!</definedName>
    <definedName name="Z_AAA1DD33_F1E3_423A_B1F2_E8567F4D95A5_.wvu.FilterData" hidden="1">#REF!</definedName>
    <definedName name="Z_AAA1DD33_F1E3_423A_B1F2_E8567F4D95A5_.wvu.PrintArea" localSheetId="1" hidden="1">#REF!</definedName>
    <definedName name="Z_AAA1DD33_F1E3_423A_B1F2_E8567F4D95A5_.wvu.PrintArea" localSheetId="2" hidden="1">#REF!</definedName>
    <definedName name="Z_AAA1DD33_F1E3_423A_B1F2_E8567F4D95A5_.wvu.PrintArea" localSheetId="3" hidden="1">#REF!</definedName>
    <definedName name="Z_AAA1DD33_F1E3_423A_B1F2_E8567F4D95A5_.wvu.PrintArea" hidden="1">#REF!</definedName>
    <definedName name="Z_AAA1DD33_F1E3_423A_B1F2_E8567F4D95A5_.wvu.PrintTitles" localSheetId="1" hidden="1">#REF!</definedName>
    <definedName name="Z_AAA1DD33_F1E3_423A_B1F2_E8567F4D95A5_.wvu.PrintTitles" localSheetId="2" hidden="1">#REF!</definedName>
    <definedName name="Z_AAA1DD33_F1E3_423A_B1F2_E8567F4D95A5_.wvu.PrintTitles" localSheetId="3" hidden="1">#REF!</definedName>
    <definedName name="Z_AAA1DD33_F1E3_423A_B1F2_E8567F4D95A5_.wvu.PrintTitles" hidden="1">#REF!</definedName>
    <definedName name="Z_B4899972_EBDC_11DA_B6F6_00609720E0A1_.wvu.FilterData" localSheetId="1" hidden="1">#REF!</definedName>
    <definedName name="Z_B4899972_EBDC_11DA_B6F6_00609720E0A1_.wvu.FilterData" localSheetId="2" hidden="1">#REF!</definedName>
    <definedName name="Z_B4899972_EBDC_11DA_B6F6_00609720E0A1_.wvu.FilterData" localSheetId="3" hidden="1">#REF!</definedName>
    <definedName name="Z_B4899972_EBDC_11DA_B6F6_00609720E0A1_.wvu.FilterData" hidden="1">#REF!</definedName>
    <definedName name="Z_B4899972_EBDC_11DA_B6F6_00609720E0A1_.wvu.PrintArea" localSheetId="1" hidden="1">#REF!</definedName>
    <definedName name="Z_B4899972_EBDC_11DA_B6F6_00609720E0A1_.wvu.PrintArea" localSheetId="2" hidden="1">#REF!</definedName>
    <definedName name="Z_B4899972_EBDC_11DA_B6F6_00609720E0A1_.wvu.PrintArea" localSheetId="3" hidden="1">#REF!</definedName>
    <definedName name="Z_B4899972_EBDC_11DA_B6F6_00609720E0A1_.wvu.PrintArea" hidden="1">#REF!</definedName>
    <definedName name="Z_B4899972_EBDC_11DA_B6F6_00609720E0A1_.wvu.PrintTitles" localSheetId="1" hidden="1">#REF!</definedName>
    <definedName name="Z_B4899972_EBDC_11DA_B6F6_00609720E0A1_.wvu.PrintTitles" localSheetId="2" hidden="1">#REF!</definedName>
    <definedName name="Z_B4899972_EBDC_11DA_B6F6_00609720E0A1_.wvu.PrintTitles" localSheetId="3" hidden="1">#REF!</definedName>
    <definedName name="Z_B4899972_EBDC_11DA_B6F6_00609720E0A1_.wvu.PrintTitles" hidden="1">#REF!</definedName>
    <definedName name="Z_B4899973_EBDC_11DA_B6F6_00609720E0A1_.wvu.FilterData" localSheetId="1" hidden="1">#REF!</definedName>
    <definedName name="Z_B4899973_EBDC_11DA_B6F6_00609720E0A1_.wvu.FilterData" localSheetId="2" hidden="1">#REF!</definedName>
    <definedName name="Z_B4899973_EBDC_11DA_B6F6_00609720E0A1_.wvu.FilterData" localSheetId="3" hidden="1">#REF!</definedName>
    <definedName name="Z_B4899973_EBDC_11DA_B6F6_00609720E0A1_.wvu.FilterData" hidden="1">#REF!</definedName>
    <definedName name="Z_B4899973_EBDC_11DA_B6F6_00609720E0A1_.wvu.PrintArea" localSheetId="1" hidden="1">#REF!</definedName>
    <definedName name="Z_B4899973_EBDC_11DA_B6F6_00609720E0A1_.wvu.PrintArea" localSheetId="2" hidden="1">#REF!</definedName>
    <definedName name="Z_B4899973_EBDC_11DA_B6F6_00609720E0A1_.wvu.PrintArea" localSheetId="3" hidden="1">#REF!</definedName>
    <definedName name="Z_B4899973_EBDC_11DA_B6F6_00609720E0A1_.wvu.PrintArea" hidden="1">#REF!</definedName>
    <definedName name="Z_B4899973_EBDC_11DA_B6F6_00609720E0A1_.wvu.PrintTitles" localSheetId="1" hidden="1">#REF!</definedName>
    <definedName name="Z_B4899973_EBDC_11DA_B6F6_00609720E0A1_.wvu.PrintTitles" localSheetId="2" hidden="1">#REF!</definedName>
    <definedName name="Z_B4899973_EBDC_11DA_B6F6_00609720E0A1_.wvu.PrintTitles" localSheetId="3" hidden="1">#REF!</definedName>
    <definedName name="Z_B4899973_EBDC_11DA_B6F6_00609720E0A1_.wvu.PrintTitles" hidden="1">#REF!</definedName>
    <definedName name="Z_B4899974_EBDC_11DA_B6F6_00609720E0A1_.wvu.FilterData" localSheetId="1" hidden="1">#REF!</definedName>
    <definedName name="Z_B4899974_EBDC_11DA_B6F6_00609720E0A1_.wvu.FilterData" localSheetId="2" hidden="1">#REF!</definedName>
    <definedName name="Z_B4899974_EBDC_11DA_B6F6_00609720E0A1_.wvu.FilterData" localSheetId="3" hidden="1">#REF!</definedName>
    <definedName name="Z_B4899974_EBDC_11DA_B6F6_00609720E0A1_.wvu.FilterData" hidden="1">#REF!</definedName>
    <definedName name="Z_B4899974_EBDC_11DA_B6F6_00609720E0A1_.wvu.PrintArea" localSheetId="1" hidden="1">#REF!</definedName>
    <definedName name="Z_B4899974_EBDC_11DA_B6F6_00609720E0A1_.wvu.PrintArea" localSheetId="2" hidden="1">#REF!</definedName>
    <definedName name="Z_B4899974_EBDC_11DA_B6F6_00609720E0A1_.wvu.PrintArea" localSheetId="3" hidden="1">#REF!</definedName>
    <definedName name="Z_B4899974_EBDC_11DA_B6F6_00609720E0A1_.wvu.PrintArea" hidden="1">#REF!</definedName>
    <definedName name="Z_B4899974_EBDC_11DA_B6F6_00609720E0A1_.wvu.PrintTitles" localSheetId="1" hidden="1">#REF!</definedName>
    <definedName name="Z_B4899974_EBDC_11DA_B6F6_00609720E0A1_.wvu.PrintTitles" localSheetId="2" hidden="1">#REF!</definedName>
    <definedName name="Z_B4899974_EBDC_11DA_B6F6_00609720E0A1_.wvu.PrintTitles" localSheetId="3" hidden="1">#REF!</definedName>
    <definedName name="Z_B4899974_EBDC_11DA_B6F6_00609720E0A1_.wvu.PrintTitles" hidden="1">#REF!</definedName>
    <definedName name="Z_B4899975_EBDC_11DA_B6F6_00609720E0A1_.wvu.FilterData" localSheetId="1" hidden="1">#REF!</definedName>
    <definedName name="Z_B4899975_EBDC_11DA_B6F6_00609720E0A1_.wvu.FilterData" localSheetId="2" hidden="1">#REF!</definedName>
    <definedName name="Z_B4899975_EBDC_11DA_B6F6_00609720E0A1_.wvu.FilterData" localSheetId="3" hidden="1">#REF!</definedName>
    <definedName name="Z_B4899975_EBDC_11DA_B6F6_00609720E0A1_.wvu.FilterData" hidden="1">#REF!</definedName>
    <definedName name="Z_B4899975_EBDC_11DA_B6F6_00609720E0A1_.wvu.PrintArea" localSheetId="1" hidden="1">#REF!</definedName>
    <definedName name="Z_B4899975_EBDC_11DA_B6F6_00609720E0A1_.wvu.PrintArea" localSheetId="2" hidden="1">#REF!</definedName>
    <definedName name="Z_B4899975_EBDC_11DA_B6F6_00609720E0A1_.wvu.PrintArea" localSheetId="3" hidden="1">#REF!</definedName>
    <definedName name="Z_B4899975_EBDC_11DA_B6F6_00609720E0A1_.wvu.PrintArea" hidden="1">#REF!</definedName>
    <definedName name="Z_B4899975_EBDC_11DA_B6F6_00609720E0A1_.wvu.PrintTitles" localSheetId="1" hidden="1">#REF!</definedName>
    <definedName name="Z_B4899975_EBDC_11DA_B6F6_00609720E0A1_.wvu.PrintTitles" localSheetId="2" hidden="1">#REF!</definedName>
    <definedName name="Z_B4899975_EBDC_11DA_B6F6_00609720E0A1_.wvu.PrintTitles" localSheetId="3" hidden="1">#REF!</definedName>
    <definedName name="Z_B4899975_EBDC_11DA_B6F6_00609720E0A1_.wvu.PrintTitles" hidden="1">#REF!</definedName>
    <definedName name="Z_B4899976_EBDC_11DA_B6F6_00609720E0A1_.wvu.FilterData" localSheetId="1" hidden="1">#REF!</definedName>
    <definedName name="Z_B4899976_EBDC_11DA_B6F6_00609720E0A1_.wvu.FilterData" localSheetId="2" hidden="1">#REF!</definedName>
    <definedName name="Z_B4899976_EBDC_11DA_B6F6_00609720E0A1_.wvu.FilterData" localSheetId="3" hidden="1">#REF!</definedName>
    <definedName name="Z_B4899976_EBDC_11DA_B6F6_00609720E0A1_.wvu.FilterData" hidden="1">#REF!</definedName>
    <definedName name="Z_B4899976_EBDC_11DA_B6F6_00609720E0A1_.wvu.PrintArea" localSheetId="1" hidden="1">#REF!</definedName>
    <definedName name="Z_B4899976_EBDC_11DA_B6F6_00609720E0A1_.wvu.PrintArea" localSheetId="2" hidden="1">#REF!</definedName>
    <definedName name="Z_B4899976_EBDC_11DA_B6F6_00609720E0A1_.wvu.PrintArea" localSheetId="3" hidden="1">#REF!</definedName>
    <definedName name="Z_B4899976_EBDC_11DA_B6F6_00609720E0A1_.wvu.PrintArea" hidden="1">#REF!</definedName>
    <definedName name="Z_B4899976_EBDC_11DA_B6F6_00609720E0A1_.wvu.PrintTitles" localSheetId="1" hidden="1">#REF!</definedName>
    <definedName name="Z_B4899976_EBDC_11DA_B6F6_00609720E0A1_.wvu.PrintTitles" localSheetId="2" hidden="1">#REF!</definedName>
    <definedName name="Z_B4899976_EBDC_11DA_B6F6_00609720E0A1_.wvu.PrintTitles" localSheetId="3" hidden="1">#REF!</definedName>
    <definedName name="Z_B4899976_EBDC_11DA_B6F6_00609720E0A1_.wvu.PrintTitles" hidden="1">#REF!</definedName>
    <definedName name="Z_C24E6469_C4CC_430B_8814_72DD019DF2C8_.wvu.FilterData" localSheetId="1" hidden="1">#REF!</definedName>
    <definedName name="Z_C24E6469_C4CC_430B_8814_72DD019DF2C8_.wvu.FilterData" localSheetId="2" hidden="1">#REF!</definedName>
    <definedName name="Z_C24E6469_C4CC_430B_8814_72DD019DF2C8_.wvu.FilterData" localSheetId="3" hidden="1">#REF!</definedName>
    <definedName name="Z_C24E6469_C4CC_430B_8814_72DD019DF2C8_.wvu.FilterData" hidden="1">#REF!</definedName>
    <definedName name="Z_C24E6469_C4CC_430B_8814_72DD019DF2C8_.wvu.PrintArea" localSheetId="1" hidden="1">#REF!</definedName>
    <definedName name="Z_C24E6469_C4CC_430B_8814_72DD019DF2C8_.wvu.PrintArea" localSheetId="2" hidden="1">#REF!</definedName>
    <definedName name="Z_C24E6469_C4CC_430B_8814_72DD019DF2C8_.wvu.PrintArea" localSheetId="3" hidden="1">#REF!</definedName>
    <definedName name="Z_C24E6469_C4CC_430B_8814_72DD019DF2C8_.wvu.PrintArea" hidden="1">#REF!</definedName>
    <definedName name="Z_C24E6469_C4CC_430B_8814_72DD019DF2C8_.wvu.PrintTitles" localSheetId="1" hidden="1">#REF!</definedName>
    <definedName name="Z_C24E6469_C4CC_430B_8814_72DD019DF2C8_.wvu.PrintTitles" localSheetId="2" hidden="1">#REF!</definedName>
    <definedName name="Z_C24E6469_C4CC_430B_8814_72DD019DF2C8_.wvu.PrintTitles" localSheetId="3" hidden="1">#REF!</definedName>
    <definedName name="Z_C24E6469_C4CC_430B_8814_72DD019DF2C8_.wvu.PrintTitles" hidden="1">#REF!</definedName>
    <definedName name="Z_CA61CA57_E7CE_4A4D_974A_F3124BCA2797_.wvu.FilterData" localSheetId="1" hidden="1">#REF!</definedName>
    <definedName name="Z_CA61CA57_E7CE_4A4D_974A_F3124BCA2797_.wvu.FilterData" localSheetId="2" hidden="1">#REF!</definedName>
    <definedName name="Z_CA61CA57_E7CE_4A4D_974A_F3124BCA2797_.wvu.FilterData" localSheetId="3" hidden="1">#REF!</definedName>
    <definedName name="Z_CA61CA57_E7CE_4A4D_974A_F3124BCA2797_.wvu.FilterData" hidden="1">#REF!</definedName>
    <definedName name="Z_CA61CA57_E7CE_4A4D_974A_F3124BCA2797_.wvu.PrintArea" localSheetId="1" hidden="1">#REF!</definedName>
    <definedName name="Z_CA61CA57_E7CE_4A4D_974A_F3124BCA2797_.wvu.PrintArea" localSheetId="2" hidden="1">#REF!</definedName>
    <definedName name="Z_CA61CA57_E7CE_4A4D_974A_F3124BCA2797_.wvu.PrintArea" localSheetId="3" hidden="1">#REF!</definedName>
    <definedName name="Z_CA61CA57_E7CE_4A4D_974A_F3124BCA2797_.wvu.PrintArea" hidden="1">#REF!</definedName>
    <definedName name="Z_CA61CA57_E7CE_4A4D_974A_F3124BCA2797_.wvu.PrintTitles" localSheetId="1" hidden="1">#REF!</definedName>
    <definedName name="Z_CA61CA57_E7CE_4A4D_974A_F3124BCA2797_.wvu.PrintTitles" localSheetId="2" hidden="1">#REF!</definedName>
    <definedName name="Z_CA61CA57_E7CE_4A4D_974A_F3124BCA2797_.wvu.PrintTitles" localSheetId="3" hidden="1">#REF!</definedName>
    <definedName name="Z_CA61CA57_E7CE_4A4D_974A_F3124BCA2797_.wvu.PrintTitles" hidden="1">#REF!</definedName>
    <definedName name="Z_D55C8B2E_861A_459E_9D09_3AF38A1DE99E_.wvu.Rows" localSheetId="1" hidden="1">[2]Presentacion!#REF!</definedName>
    <definedName name="Z_D55C8B2E_861A_459E_9D09_3AF38A1DE99E_.wvu.Rows" localSheetId="2" hidden="1">[2]Presentacion!#REF!</definedName>
    <definedName name="Z_D55C8B2E_861A_459E_9D09_3AF38A1DE99E_.wvu.Rows" localSheetId="3" hidden="1">[2]Presentacion!#REF!</definedName>
    <definedName name="Z_D55C8B2E_861A_459E_9D09_3AF38A1DE99E_.wvu.Rows" hidden="1">[2]Presentacion!#REF!</definedName>
    <definedName name="Z_DA4D5A8F_12FA_42F5_A8BB_526600E97433_.wvu.FilterData" localSheetId="1" hidden="1">#REF!</definedName>
    <definedName name="Z_DA4D5A8F_12FA_42F5_A8BB_526600E97433_.wvu.FilterData" localSheetId="2" hidden="1">#REF!</definedName>
    <definedName name="Z_DA4D5A8F_12FA_42F5_A8BB_526600E97433_.wvu.FilterData" localSheetId="3" hidden="1">#REF!</definedName>
    <definedName name="Z_DA4D5A8F_12FA_42F5_A8BB_526600E97433_.wvu.FilterData" hidden="1">#REF!</definedName>
    <definedName name="Z_DA4D5A8F_12FA_42F5_A8BB_526600E97433_.wvu.PrintArea" localSheetId="1" hidden="1">#REF!</definedName>
    <definedName name="Z_DA4D5A8F_12FA_42F5_A8BB_526600E97433_.wvu.PrintArea" localSheetId="2" hidden="1">#REF!</definedName>
    <definedName name="Z_DA4D5A8F_12FA_42F5_A8BB_526600E97433_.wvu.PrintArea" localSheetId="3" hidden="1">#REF!</definedName>
    <definedName name="Z_DA4D5A8F_12FA_42F5_A8BB_526600E97433_.wvu.PrintArea" hidden="1">#REF!</definedName>
    <definedName name="Z_DA4D5A8F_12FA_42F5_A8BB_526600E97433_.wvu.PrintTitles" localSheetId="1" hidden="1">#REF!</definedName>
    <definedName name="Z_DA4D5A8F_12FA_42F5_A8BB_526600E97433_.wvu.PrintTitles" localSheetId="2" hidden="1">#REF!</definedName>
    <definedName name="Z_DA4D5A8F_12FA_42F5_A8BB_526600E97433_.wvu.PrintTitles" localSheetId="3" hidden="1">#REF!</definedName>
    <definedName name="Z_DA4D5A8F_12FA_42F5_A8BB_526600E97433_.wvu.PrintTitles" hidden="1">#REF!</definedName>
    <definedName name="Z_DFB4C5EB_A8D3_475E_B627_EA98F95F9220_.wvu.FilterData" localSheetId="1" hidden="1">#REF!</definedName>
    <definedName name="Z_DFB4C5EB_A8D3_475E_B627_EA98F95F9220_.wvu.FilterData" localSheetId="2" hidden="1">#REF!</definedName>
    <definedName name="Z_DFB4C5EB_A8D3_475E_B627_EA98F95F9220_.wvu.FilterData" localSheetId="3" hidden="1">#REF!</definedName>
    <definedName name="Z_DFB4C5EB_A8D3_475E_B627_EA98F95F9220_.wvu.FilterData" hidden="1">#REF!</definedName>
    <definedName name="Z_DFB4C5EB_A8D3_475E_B627_EA98F95F9220_.wvu.PrintArea" localSheetId="1" hidden="1">#REF!</definedName>
    <definedName name="Z_DFB4C5EB_A8D3_475E_B627_EA98F95F9220_.wvu.PrintArea" localSheetId="2" hidden="1">#REF!</definedName>
    <definedName name="Z_DFB4C5EB_A8D3_475E_B627_EA98F95F9220_.wvu.PrintArea" localSheetId="3" hidden="1">#REF!</definedName>
    <definedName name="Z_DFB4C5EB_A8D3_475E_B627_EA98F95F9220_.wvu.PrintArea" hidden="1">#REF!</definedName>
    <definedName name="Z_DFB4C5EB_A8D3_475E_B627_EA98F95F9220_.wvu.PrintTitles" localSheetId="1" hidden="1">#REF!</definedName>
    <definedName name="Z_DFB4C5EB_A8D3_475E_B627_EA98F95F9220_.wvu.PrintTitles" localSheetId="2" hidden="1">#REF!</definedName>
    <definedName name="Z_DFB4C5EB_A8D3_475E_B627_EA98F95F9220_.wvu.PrintTitles" localSheetId="3" hidden="1">#REF!</definedName>
    <definedName name="Z_DFB4C5EB_A8D3_475E_B627_EA98F95F9220_.wvu.PrintTitles" hidden="1">#REF!</definedName>
    <definedName name="Z_F2B990A1_57B3_4766_8C3D_4D3A5265BAEF_.wvu.FilterData" localSheetId="1" hidden="1">#REF!</definedName>
    <definedName name="Z_F2B990A1_57B3_4766_8C3D_4D3A5265BAEF_.wvu.FilterData" localSheetId="2" hidden="1">#REF!</definedName>
    <definedName name="Z_F2B990A1_57B3_4766_8C3D_4D3A5265BAEF_.wvu.FilterData" localSheetId="3" hidden="1">#REF!</definedName>
    <definedName name="Z_F2B990A1_57B3_4766_8C3D_4D3A5265BAEF_.wvu.FilterData" hidden="1">#REF!</definedName>
    <definedName name="Z_F2B990A1_57B3_4766_8C3D_4D3A5265BAEF_.wvu.PrintArea" localSheetId="1" hidden="1">#REF!</definedName>
    <definedName name="Z_F2B990A1_57B3_4766_8C3D_4D3A5265BAEF_.wvu.PrintArea" localSheetId="2" hidden="1">#REF!</definedName>
    <definedName name="Z_F2B990A1_57B3_4766_8C3D_4D3A5265BAEF_.wvu.PrintArea" localSheetId="3" hidden="1">#REF!</definedName>
    <definedName name="Z_F2B990A1_57B3_4766_8C3D_4D3A5265BAEF_.wvu.PrintArea" hidden="1">#REF!</definedName>
    <definedName name="Z_F2B990A1_57B3_4766_8C3D_4D3A5265BAEF_.wvu.PrintTitles" localSheetId="1" hidden="1">#REF!</definedName>
    <definedName name="Z_F2B990A1_57B3_4766_8C3D_4D3A5265BAEF_.wvu.PrintTitles" localSheetId="2" hidden="1">#REF!</definedName>
    <definedName name="Z_F2B990A1_57B3_4766_8C3D_4D3A5265BAEF_.wvu.PrintTitles" localSheetId="3" hidden="1">#REF!</definedName>
    <definedName name="Z_F2B990A1_57B3_4766_8C3D_4D3A5265BAEF_.wvu.PrintTitles" hidden="1">#REF!</definedName>
    <definedName name="Z_F540D718_D9AA_403F_AE49_60D937FD77E5_.wvu.Rows" localSheetId="1" hidden="1">[2]Presentacion!#REF!</definedName>
    <definedName name="Z_F540D718_D9AA_403F_AE49_60D937FD77E5_.wvu.Rows" localSheetId="2" hidden="1">[2]Presentacion!#REF!</definedName>
    <definedName name="Z_F540D718_D9AA_403F_AE49_60D937FD77E5_.wvu.Rows" localSheetId="3" hidden="1">[2]Presentacion!#REF!</definedName>
    <definedName name="Z_F540D718_D9AA_403F_AE49_60D937FD77E5_.wvu.Rows" hidden="1">[2]Presentacion!#REF!</definedName>
    <definedName name="Z_F9482E1F_92B8_43D8_949A_7DDCF2E63A19_.wvu.FilterData" localSheetId="1" hidden="1">#REF!</definedName>
    <definedName name="Z_F9482E1F_92B8_43D8_949A_7DDCF2E63A19_.wvu.FilterData" localSheetId="2" hidden="1">#REF!</definedName>
    <definedName name="Z_F9482E1F_92B8_43D8_949A_7DDCF2E63A19_.wvu.FilterData" localSheetId="3" hidden="1">#REF!</definedName>
    <definedName name="Z_F9482E1F_92B8_43D8_949A_7DDCF2E63A19_.wvu.FilterData" hidden="1">#REF!</definedName>
    <definedName name="Z_F9482E1F_92B8_43D8_949A_7DDCF2E63A19_.wvu.PrintArea" localSheetId="1" hidden="1">#REF!</definedName>
    <definedName name="Z_F9482E1F_92B8_43D8_949A_7DDCF2E63A19_.wvu.PrintArea" localSheetId="2" hidden="1">#REF!</definedName>
    <definedName name="Z_F9482E1F_92B8_43D8_949A_7DDCF2E63A19_.wvu.PrintArea" localSheetId="3" hidden="1">#REF!</definedName>
    <definedName name="Z_F9482E1F_92B8_43D8_949A_7DDCF2E63A19_.wvu.PrintArea" hidden="1">#REF!</definedName>
    <definedName name="Z_F9482E1F_92B8_43D8_949A_7DDCF2E63A19_.wvu.PrintTitles" localSheetId="1" hidden="1">#REF!</definedName>
    <definedName name="Z_F9482E1F_92B8_43D8_949A_7DDCF2E63A19_.wvu.PrintTitles" localSheetId="2" hidden="1">#REF!</definedName>
    <definedName name="Z_F9482E1F_92B8_43D8_949A_7DDCF2E63A19_.wvu.PrintTitles" localSheetId="3" hidden="1">#REF!</definedName>
    <definedName name="Z_F9482E1F_92B8_43D8_949A_7DDCF2E63A19_.wvu.PrintTitles" hidden="1">#REF!</definedName>
    <definedName name="ㄴㅁㅇㄹ" hidden="1">{#N/A,#N/A,FALSE,"CCTV"}</definedName>
    <definedName name="당초계획" localSheetId="1" hidden="1">#REF!</definedName>
    <definedName name="당초계획" localSheetId="2" hidden="1">#REF!</definedName>
    <definedName name="당초계획" localSheetId="3" hidden="1">#REF!</definedName>
    <definedName name="당초계획" hidden="1">#REF!</definedName>
    <definedName name="보충" localSheetId="1" hidden="1">#REF!</definedName>
    <definedName name="보충" localSheetId="2" hidden="1">#REF!</definedName>
    <definedName name="보충" localSheetId="3" hidden="1">#REF!</definedName>
    <definedName name="보충" hidden="1">#REF!</definedName>
    <definedName name="부대공사" localSheetId="1" hidden="1">#REF!</definedName>
    <definedName name="부대공사" localSheetId="2" hidden="1">#REF!</definedName>
    <definedName name="부대공사" localSheetId="3" hidden="1">#REF!</definedName>
    <definedName name="부대공사" hidden="1">#REF!</definedName>
    <definedName name="사업부양식2" localSheetId="1" hidden="1">#REF!</definedName>
    <definedName name="사업부양식2" localSheetId="2" hidden="1">#REF!</definedName>
    <definedName name="사업부양식2" localSheetId="3" hidden="1">#REF!</definedName>
    <definedName name="사업부양식2" hidden="1">#REF!</definedName>
    <definedName name="손익계산서" localSheetId="1" hidden="1">#REF!</definedName>
    <definedName name="손익계산서" localSheetId="2" hidden="1">#REF!</definedName>
    <definedName name="손익계산서" localSheetId="3" hidden="1">#REF!</definedName>
    <definedName name="손익계산서" hidden="1">#REF!</definedName>
    <definedName name="이름" hidden="1">{#N/A,#N/A,FALSE,"CCTV"}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" l="1"/>
  <c r="G41" i="5"/>
  <c r="G51" i="5"/>
  <c r="G96" i="5"/>
  <c r="G102" i="5"/>
  <c r="G134" i="5"/>
  <c r="G129" i="5" s="1"/>
  <c r="G127" i="5"/>
  <c r="C126" i="5"/>
  <c r="G122" i="5"/>
  <c r="G117" i="5"/>
  <c r="G115" i="5"/>
  <c r="G113" i="5"/>
  <c r="C110" i="5"/>
  <c r="C109" i="5"/>
  <c r="G104" i="5"/>
  <c r="G94" i="5"/>
  <c r="G49" i="5"/>
  <c r="C47" i="5"/>
  <c r="D34" i="5"/>
  <c r="C34" i="5"/>
  <c r="G25" i="5"/>
  <c r="G19" i="5"/>
  <c r="G17" i="5"/>
  <c r="G14" i="5"/>
  <c r="G2" i="5"/>
  <c r="B2" i="5"/>
  <c r="BH1" i="5"/>
  <c r="BJ1" i="5" s="1"/>
  <c r="BA1" i="5"/>
  <c r="AZ1" i="5"/>
  <c r="AM1" i="5"/>
  <c r="AF1" i="5"/>
  <c r="AE1" i="5"/>
  <c r="Y1" i="5"/>
  <c r="Z1" i="5" s="1"/>
  <c r="AG1" i="5" s="1"/>
  <c r="G1" i="5"/>
  <c r="F1" i="5"/>
  <c r="G15" i="3"/>
  <c r="BK1" i="5" l="1"/>
  <c r="BL1" i="5" s="1"/>
  <c r="G136" i="5"/>
  <c r="G140" i="5" s="1"/>
  <c r="G151" i="5" s="1"/>
  <c r="G152" i="5" s="1"/>
  <c r="G153" i="5" s="1"/>
  <c r="G39" i="5"/>
  <c r="G120" i="5" s="1"/>
  <c r="G138" i="5" s="1"/>
  <c r="G143" i="5" s="1"/>
  <c r="G145" i="5" s="1"/>
  <c r="G15" i="4"/>
  <c r="G14" i="4" s="1"/>
  <c r="G20" i="4"/>
  <c r="G19" i="4" s="1"/>
  <c r="G21" i="4"/>
  <c r="G22" i="4"/>
  <c r="G23" i="4"/>
  <c r="G28" i="4"/>
  <c r="G39" i="4" s="1"/>
  <c r="G29" i="4"/>
  <c r="G30" i="4"/>
  <c r="G31" i="4"/>
  <c r="G32" i="4"/>
  <c r="G33" i="4"/>
  <c r="G34" i="4"/>
  <c r="G35" i="4"/>
  <c r="G36" i="4"/>
  <c r="G37" i="4"/>
  <c r="G42" i="4"/>
  <c r="G43" i="4"/>
  <c r="G44" i="4"/>
  <c r="G45" i="4"/>
  <c r="G46" i="4"/>
  <c r="G47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7" i="4"/>
  <c r="G98" i="4"/>
  <c r="G99" i="4"/>
  <c r="G100" i="4"/>
  <c r="G106" i="4"/>
  <c r="G104" i="4" s="1"/>
  <c r="G107" i="4"/>
  <c r="G108" i="4"/>
  <c r="G109" i="4"/>
  <c r="G110" i="4"/>
  <c r="G111" i="4"/>
  <c r="G112" i="4"/>
  <c r="G116" i="4"/>
  <c r="G115" i="4" s="1"/>
  <c r="G123" i="4"/>
  <c r="G127" i="4" s="1"/>
  <c r="G122" i="4" s="1"/>
  <c r="G124" i="4"/>
  <c r="G125" i="4"/>
  <c r="G126" i="4"/>
  <c r="G130" i="4"/>
  <c r="G134" i="4" s="1"/>
  <c r="G131" i="4"/>
  <c r="G132" i="4"/>
  <c r="F147" i="4"/>
  <c r="I132" i="4"/>
  <c r="I131" i="4"/>
  <c r="L131" i="4" s="1"/>
  <c r="M131" i="4" s="1"/>
  <c r="I130" i="4"/>
  <c r="L130" i="4" s="1"/>
  <c r="M130" i="4" s="1"/>
  <c r="M129" i="4"/>
  <c r="N129" i="4" s="1"/>
  <c r="M128" i="4"/>
  <c r="N128" i="4" s="1"/>
  <c r="M127" i="4"/>
  <c r="N127" i="4" s="1"/>
  <c r="I126" i="4"/>
  <c r="J126" i="4" s="1"/>
  <c r="K126" i="4" s="1"/>
  <c r="C126" i="4"/>
  <c r="J125" i="4"/>
  <c r="K125" i="4" s="1"/>
  <c r="I125" i="4"/>
  <c r="L125" i="4" s="1"/>
  <c r="M125" i="4" s="1"/>
  <c r="I124" i="4"/>
  <c r="L123" i="4"/>
  <c r="M123" i="4" s="1"/>
  <c r="J123" i="4"/>
  <c r="K123" i="4" s="1"/>
  <c r="I123" i="4"/>
  <c r="M122" i="4"/>
  <c r="N122" i="4" s="1"/>
  <c r="N121" i="4"/>
  <c r="M121" i="4"/>
  <c r="M119" i="4"/>
  <c r="N119" i="4" s="1"/>
  <c r="N118" i="4"/>
  <c r="M118" i="4"/>
  <c r="M117" i="4"/>
  <c r="N117" i="4" s="1"/>
  <c r="I116" i="4"/>
  <c r="L116" i="4" s="1"/>
  <c r="M116" i="4" s="1"/>
  <c r="M115" i="4"/>
  <c r="N115" i="4" s="1"/>
  <c r="M114" i="4"/>
  <c r="N114" i="4" s="1"/>
  <c r="M113" i="4"/>
  <c r="N113" i="4" s="1"/>
  <c r="L112" i="4"/>
  <c r="M112" i="4" s="1"/>
  <c r="I112" i="4"/>
  <c r="J112" i="4" s="1"/>
  <c r="K112" i="4" s="1"/>
  <c r="I111" i="4"/>
  <c r="I110" i="4"/>
  <c r="L110" i="4" s="1"/>
  <c r="M110" i="4" s="1"/>
  <c r="C110" i="4"/>
  <c r="I109" i="4"/>
  <c r="L109" i="4" s="1"/>
  <c r="M109" i="4" s="1"/>
  <c r="C109" i="4"/>
  <c r="L108" i="4"/>
  <c r="M108" i="4" s="1"/>
  <c r="I108" i="4"/>
  <c r="J108" i="4" s="1"/>
  <c r="K108" i="4" s="1"/>
  <c r="I107" i="4"/>
  <c r="L107" i="4" s="1"/>
  <c r="M107" i="4" s="1"/>
  <c r="I106" i="4"/>
  <c r="L106" i="4" s="1"/>
  <c r="M106" i="4" s="1"/>
  <c r="M105" i="4"/>
  <c r="N105" i="4" s="1"/>
  <c r="M104" i="4"/>
  <c r="N104" i="4" s="1"/>
  <c r="N103" i="4"/>
  <c r="M103" i="4"/>
  <c r="M102" i="4"/>
  <c r="N102" i="4" s="1"/>
  <c r="M101" i="4"/>
  <c r="N101" i="4" s="1"/>
  <c r="J101" i="4"/>
  <c r="L100" i="4"/>
  <c r="M100" i="4" s="1"/>
  <c r="J100" i="4"/>
  <c r="K100" i="4" s="1"/>
  <c r="I100" i="4"/>
  <c r="I99" i="4"/>
  <c r="I98" i="4"/>
  <c r="J98" i="4" s="1"/>
  <c r="K98" i="4" s="1"/>
  <c r="I97" i="4"/>
  <c r="M96" i="4"/>
  <c r="N96" i="4" s="1"/>
  <c r="M95" i="4"/>
  <c r="N95" i="4" s="1"/>
  <c r="M94" i="4"/>
  <c r="N94" i="4" s="1"/>
  <c r="N93" i="4"/>
  <c r="M93" i="4"/>
  <c r="I92" i="4"/>
  <c r="L92" i="4" s="1"/>
  <c r="M92" i="4" s="1"/>
  <c r="I91" i="4"/>
  <c r="L90" i="4"/>
  <c r="M90" i="4" s="1"/>
  <c r="I90" i="4"/>
  <c r="J90" i="4" s="1"/>
  <c r="K90" i="4" s="1"/>
  <c r="I89" i="4"/>
  <c r="L88" i="4"/>
  <c r="M88" i="4" s="1"/>
  <c r="J88" i="4"/>
  <c r="K88" i="4" s="1"/>
  <c r="I88" i="4"/>
  <c r="I87" i="4"/>
  <c r="I86" i="4"/>
  <c r="L86" i="4" s="1"/>
  <c r="M86" i="4" s="1"/>
  <c r="I85" i="4"/>
  <c r="I84" i="4"/>
  <c r="J84" i="4" s="1"/>
  <c r="K84" i="4" s="1"/>
  <c r="I83" i="4"/>
  <c r="I82" i="4"/>
  <c r="L82" i="4" s="1"/>
  <c r="M82" i="4" s="1"/>
  <c r="I81" i="4"/>
  <c r="L80" i="4"/>
  <c r="M80" i="4" s="1"/>
  <c r="I80" i="4"/>
  <c r="J80" i="4" s="1"/>
  <c r="K80" i="4" s="1"/>
  <c r="I79" i="4"/>
  <c r="J78" i="4"/>
  <c r="K78" i="4" s="1"/>
  <c r="I78" i="4"/>
  <c r="L78" i="4" s="1"/>
  <c r="M78" i="4" s="1"/>
  <c r="I77" i="4"/>
  <c r="I76" i="4"/>
  <c r="J76" i="4" s="1"/>
  <c r="K76" i="4" s="1"/>
  <c r="I75" i="4"/>
  <c r="L74" i="4"/>
  <c r="M74" i="4" s="1"/>
  <c r="J74" i="4"/>
  <c r="K74" i="4" s="1"/>
  <c r="I74" i="4"/>
  <c r="I73" i="4"/>
  <c r="I72" i="4"/>
  <c r="L72" i="4" s="1"/>
  <c r="M72" i="4" s="1"/>
  <c r="I71" i="4"/>
  <c r="I70" i="4"/>
  <c r="J70" i="4" s="1"/>
  <c r="K70" i="4" s="1"/>
  <c r="I69" i="4"/>
  <c r="L68" i="4"/>
  <c r="M68" i="4" s="1"/>
  <c r="J68" i="4"/>
  <c r="K68" i="4" s="1"/>
  <c r="I68" i="4"/>
  <c r="I67" i="4"/>
  <c r="I66" i="4"/>
  <c r="J66" i="4" s="1"/>
  <c r="K66" i="4" s="1"/>
  <c r="I65" i="4"/>
  <c r="J64" i="4"/>
  <c r="K64" i="4" s="1"/>
  <c r="I64" i="4"/>
  <c r="L64" i="4" s="1"/>
  <c r="M64" i="4" s="1"/>
  <c r="I63" i="4"/>
  <c r="I62" i="4"/>
  <c r="L62" i="4" s="1"/>
  <c r="M62" i="4" s="1"/>
  <c r="I61" i="4"/>
  <c r="L60" i="4"/>
  <c r="M60" i="4" s="1"/>
  <c r="I60" i="4"/>
  <c r="J60" i="4" s="1"/>
  <c r="K60" i="4" s="1"/>
  <c r="I59" i="4"/>
  <c r="I58" i="4"/>
  <c r="L58" i="4" s="1"/>
  <c r="M58" i="4" s="1"/>
  <c r="I57" i="4"/>
  <c r="I56" i="4"/>
  <c r="I55" i="4"/>
  <c r="J55" i="4" s="1"/>
  <c r="K55" i="4" s="1"/>
  <c r="I54" i="4"/>
  <c r="J54" i="4" s="1"/>
  <c r="K54" i="4" s="1"/>
  <c r="I53" i="4"/>
  <c r="L53" i="4" s="1"/>
  <c r="M53" i="4" s="1"/>
  <c r="I52" i="4"/>
  <c r="J52" i="4" s="1"/>
  <c r="K52" i="4" s="1"/>
  <c r="M51" i="4"/>
  <c r="N51" i="4" s="1"/>
  <c r="M50" i="4"/>
  <c r="N50" i="4" s="1"/>
  <c r="M49" i="4"/>
  <c r="N49" i="4" s="1"/>
  <c r="M48" i="4"/>
  <c r="N48" i="4" s="1"/>
  <c r="I47" i="4"/>
  <c r="L47" i="4" s="1"/>
  <c r="M47" i="4" s="1"/>
  <c r="C47" i="4"/>
  <c r="I46" i="4"/>
  <c r="L46" i="4" s="1"/>
  <c r="M46" i="4" s="1"/>
  <c r="I45" i="4"/>
  <c r="J45" i="4" s="1"/>
  <c r="K45" i="4" s="1"/>
  <c r="I44" i="4"/>
  <c r="J44" i="4" s="1"/>
  <c r="K44" i="4" s="1"/>
  <c r="I43" i="4"/>
  <c r="J43" i="4" s="1"/>
  <c r="K43" i="4" s="1"/>
  <c r="I42" i="4"/>
  <c r="L42" i="4" s="1"/>
  <c r="M42" i="4" s="1"/>
  <c r="M41" i="4"/>
  <c r="N41" i="4" s="1"/>
  <c r="M40" i="4"/>
  <c r="N40" i="4" s="1"/>
  <c r="M39" i="4"/>
  <c r="N39" i="4" s="1"/>
  <c r="M38" i="4"/>
  <c r="N38" i="4" s="1"/>
  <c r="I37" i="4"/>
  <c r="J37" i="4" s="1"/>
  <c r="K37" i="4" s="1"/>
  <c r="I36" i="4"/>
  <c r="L36" i="4" s="1"/>
  <c r="M36" i="4" s="1"/>
  <c r="I35" i="4"/>
  <c r="J35" i="4" s="1"/>
  <c r="K35" i="4" s="1"/>
  <c r="I34" i="4"/>
  <c r="J34" i="4" s="1"/>
  <c r="K34" i="4" s="1"/>
  <c r="D34" i="4"/>
  <c r="C34" i="4"/>
  <c r="L33" i="4"/>
  <c r="M33" i="4" s="1"/>
  <c r="I33" i="4"/>
  <c r="J33" i="4" s="1"/>
  <c r="K33" i="4" s="1"/>
  <c r="L32" i="4"/>
  <c r="M32" i="4" s="1"/>
  <c r="I32" i="4"/>
  <c r="J32" i="4" s="1"/>
  <c r="K32" i="4" s="1"/>
  <c r="L31" i="4"/>
  <c r="M31" i="4" s="1"/>
  <c r="J31" i="4"/>
  <c r="K31" i="4" s="1"/>
  <c r="I31" i="4"/>
  <c r="I30" i="4"/>
  <c r="L30" i="4" s="1"/>
  <c r="M30" i="4" s="1"/>
  <c r="I29" i="4"/>
  <c r="J29" i="4" s="1"/>
  <c r="K29" i="4" s="1"/>
  <c r="L28" i="4"/>
  <c r="M28" i="4" s="1"/>
  <c r="I28" i="4"/>
  <c r="J28" i="4" s="1"/>
  <c r="K28" i="4" s="1"/>
  <c r="M27" i="4"/>
  <c r="N27" i="4" s="1"/>
  <c r="M26" i="4"/>
  <c r="N26" i="4" s="1"/>
  <c r="M25" i="4"/>
  <c r="N25" i="4" s="1"/>
  <c r="M24" i="4"/>
  <c r="N24" i="4" s="1"/>
  <c r="I23" i="4"/>
  <c r="J23" i="4" s="1"/>
  <c r="K23" i="4" s="1"/>
  <c r="L22" i="4"/>
  <c r="M22" i="4" s="1"/>
  <c r="I22" i="4"/>
  <c r="J22" i="4" s="1"/>
  <c r="K22" i="4" s="1"/>
  <c r="L21" i="4"/>
  <c r="M21" i="4" s="1"/>
  <c r="I21" i="4"/>
  <c r="J21" i="4" s="1"/>
  <c r="K21" i="4" s="1"/>
  <c r="M20" i="4"/>
  <c r="I20" i="4"/>
  <c r="L20" i="4" s="1"/>
  <c r="M19" i="4"/>
  <c r="N19" i="4" s="1"/>
  <c r="M18" i="4"/>
  <c r="N18" i="4" s="1"/>
  <c r="M17" i="4"/>
  <c r="N17" i="4" s="1"/>
  <c r="M16" i="4"/>
  <c r="N16" i="4" s="1"/>
  <c r="L15" i="4"/>
  <c r="I15" i="4"/>
  <c r="J15" i="4" s="1"/>
  <c r="K15" i="4" s="1"/>
  <c r="G2" i="4"/>
  <c r="B2" i="4"/>
  <c r="BP1" i="4"/>
  <c r="BN1" i="4"/>
  <c r="BG1" i="4"/>
  <c r="BF1" i="4"/>
  <c r="AS1" i="4"/>
  <c r="AL1" i="4"/>
  <c r="AK1" i="4"/>
  <c r="AE1" i="4"/>
  <c r="AF1" i="4" s="1"/>
  <c r="AM1" i="4" s="1"/>
  <c r="G1" i="4"/>
  <c r="F1" i="4"/>
  <c r="G144" i="5" l="1"/>
  <c r="G146" i="5"/>
  <c r="N78" i="4"/>
  <c r="G94" i="4"/>
  <c r="N21" i="4"/>
  <c r="N31" i="4"/>
  <c r="J131" i="4"/>
  <c r="K131" i="4" s="1"/>
  <c r="G113" i="4"/>
  <c r="G96" i="4"/>
  <c r="G25" i="4"/>
  <c r="N84" i="4"/>
  <c r="L84" i="4"/>
  <c r="M84" i="4" s="1"/>
  <c r="N108" i="4"/>
  <c r="J109" i="4"/>
  <c r="K109" i="4" s="1"/>
  <c r="N109" i="4" s="1"/>
  <c r="L126" i="4"/>
  <c r="M126" i="4" s="1"/>
  <c r="N126" i="4" s="1"/>
  <c r="G117" i="4"/>
  <c r="G17" i="4"/>
  <c r="N60" i="4"/>
  <c r="N68" i="4"/>
  <c r="N88" i="4"/>
  <c r="N100" i="4"/>
  <c r="N112" i="4"/>
  <c r="N123" i="4"/>
  <c r="G102" i="4"/>
  <c r="G49" i="4"/>
  <c r="G120" i="4" s="1"/>
  <c r="G138" i="4" s="1"/>
  <c r="G143" i="4" s="1"/>
  <c r="G129" i="4"/>
  <c r="G136" i="4"/>
  <c r="G140" i="4" s="1"/>
  <c r="G151" i="4" s="1"/>
  <c r="G51" i="4"/>
  <c r="G41" i="4"/>
  <c r="G27" i="4"/>
  <c r="L34" i="4"/>
  <c r="M34" i="4" s="1"/>
  <c r="L43" i="4"/>
  <c r="M43" i="4" s="1"/>
  <c r="N43" i="4" s="1"/>
  <c r="J20" i="4"/>
  <c r="K20" i="4" s="1"/>
  <c r="N20" i="4" s="1"/>
  <c r="L37" i="4"/>
  <c r="M37" i="4" s="1"/>
  <c r="N37" i="4" s="1"/>
  <c r="L52" i="4"/>
  <c r="M52" i="4" s="1"/>
  <c r="L54" i="4"/>
  <c r="M54" i="4" s="1"/>
  <c r="N54" i="4" s="1"/>
  <c r="L66" i="4"/>
  <c r="M66" i="4" s="1"/>
  <c r="N66" i="4" s="1"/>
  <c r="L70" i="4"/>
  <c r="M70" i="4" s="1"/>
  <c r="N70" i="4" s="1"/>
  <c r="L76" i="4"/>
  <c r="M76" i="4" s="1"/>
  <c r="N76" i="4" s="1"/>
  <c r="L98" i="4"/>
  <c r="M98" i="4" s="1"/>
  <c r="N98" i="4" s="1"/>
  <c r="N80" i="4"/>
  <c r="BQ1" i="4"/>
  <c r="BR1" i="4" s="1"/>
  <c r="L44" i="4"/>
  <c r="M44" i="4" s="1"/>
  <c r="N44" i="4" s="1"/>
  <c r="J47" i="4"/>
  <c r="K47" i="4" s="1"/>
  <c r="N47" i="4" s="1"/>
  <c r="J58" i="4"/>
  <c r="K58" i="4" s="1"/>
  <c r="N58" i="4" s="1"/>
  <c r="J62" i="4"/>
  <c r="K62" i="4" s="1"/>
  <c r="N62" i="4" s="1"/>
  <c r="N64" i="4"/>
  <c r="J72" i="4"/>
  <c r="K72" i="4" s="1"/>
  <c r="N72" i="4" s="1"/>
  <c r="J82" i="4"/>
  <c r="K82" i="4" s="1"/>
  <c r="N82" i="4" s="1"/>
  <c r="J86" i="4"/>
  <c r="K86" i="4" s="1"/>
  <c r="N86" i="4" s="1"/>
  <c r="J92" i="4"/>
  <c r="K92" i="4" s="1"/>
  <c r="N92" i="4" s="1"/>
  <c r="J106" i="4"/>
  <c r="K106" i="4" s="1"/>
  <c r="N106" i="4" s="1"/>
  <c r="J110" i="4"/>
  <c r="K110" i="4" s="1"/>
  <c r="N110" i="4" s="1"/>
  <c r="J53" i="4"/>
  <c r="K53" i="4" s="1"/>
  <c r="N53" i="4" s="1"/>
  <c r="L55" i="4"/>
  <c r="M55" i="4" s="1"/>
  <c r="N55" i="4" s="1"/>
  <c r="N125" i="4"/>
  <c r="N131" i="4"/>
  <c r="N32" i="4"/>
  <c r="N33" i="4"/>
  <c r="M15" i="4"/>
  <c r="N15" i="4" s="1"/>
  <c r="N22" i="4"/>
  <c r="N34" i="4"/>
  <c r="J77" i="4"/>
  <c r="K77" i="4" s="1"/>
  <c r="L77" i="4"/>
  <c r="M77" i="4" s="1"/>
  <c r="L23" i="4"/>
  <c r="M23" i="4" s="1"/>
  <c r="N23" i="4" s="1"/>
  <c r="L29" i="4"/>
  <c r="M29" i="4" s="1"/>
  <c r="N29" i="4" s="1"/>
  <c r="L35" i="4"/>
  <c r="M35" i="4" s="1"/>
  <c r="N35" i="4" s="1"/>
  <c r="J36" i="4"/>
  <c r="K36" i="4" s="1"/>
  <c r="N36" i="4" s="1"/>
  <c r="L45" i="4"/>
  <c r="M45" i="4" s="1"/>
  <c r="N45" i="4" s="1"/>
  <c r="J46" i="4"/>
  <c r="K46" i="4" s="1"/>
  <c r="N46" i="4" s="1"/>
  <c r="L56" i="4"/>
  <c r="M56" i="4" s="1"/>
  <c r="J56" i="4"/>
  <c r="K56" i="4" s="1"/>
  <c r="L59" i="4"/>
  <c r="M59" i="4" s="1"/>
  <c r="J59" i="4"/>
  <c r="K59" i="4" s="1"/>
  <c r="L75" i="4"/>
  <c r="M75" i="4" s="1"/>
  <c r="J75" i="4"/>
  <c r="K75" i="4" s="1"/>
  <c r="L91" i="4"/>
  <c r="M91" i="4" s="1"/>
  <c r="J91" i="4"/>
  <c r="K91" i="4" s="1"/>
  <c r="J30" i="4"/>
  <c r="K30" i="4" s="1"/>
  <c r="N30" i="4" s="1"/>
  <c r="J42" i="4"/>
  <c r="K42" i="4" s="1"/>
  <c r="N42" i="4" s="1"/>
  <c r="N52" i="4"/>
  <c r="J69" i="4"/>
  <c r="K69" i="4" s="1"/>
  <c r="L69" i="4"/>
  <c r="M69" i="4" s="1"/>
  <c r="N74" i="4"/>
  <c r="J85" i="4"/>
  <c r="K85" i="4" s="1"/>
  <c r="L85" i="4"/>
  <c r="M85" i="4" s="1"/>
  <c r="N90" i="4"/>
  <c r="J99" i="4"/>
  <c r="K99" i="4" s="1"/>
  <c r="L99" i="4"/>
  <c r="M99" i="4" s="1"/>
  <c r="J61" i="4"/>
  <c r="K61" i="4" s="1"/>
  <c r="L61" i="4"/>
  <c r="M61" i="4" s="1"/>
  <c r="J124" i="4"/>
  <c r="K124" i="4" s="1"/>
  <c r="L124" i="4"/>
  <c r="M124" i="4" s="1"/>
  <c r="N28" i="4"/>
  <c r="L67" i="4"/>
  <c r="M67" i="4" s="1"/>
  <c r="J67" i="4"/>
  <c r="K67" i="4" s="1"/>
  <c r="L83" i="4"/>
  <c r="M83" i="4" s="1"/>
  <c r="J83" i="4"/>
  <c r="K83" i="4" s="1"/>
  <c r="L97" i="4"/>
  <c r="M97" i="4" s="1"/>
  <c r="J97" i="4"/>
  <c r="K97" i="4" s="1"/>
  <c r="L79" i="4"/>
  <c r="M79" i="4" s="1"/>
  <c r="J79" i="4"/>
  <c r="K79" i="4" s="1"/>
  <c r="N79" i="4" s="1"/>
  <c r="J57" i="4"/>
  <c r="K57" i="4" s="1"/>
  <c r="L57" i="4"/>
  <c r="M57" i="4" s="1"/>
  <c r="J65" i="4"/>
  <c r="K65" i="4" s="1"/>
  <c r="L65" i="4"/>
  <c r="M65" i="4" s="1"/>
  <c r="J73" i="4"/>
  <c r="K73" i="4" s="1"/>
  <c r="L73" i="4"/>
  <c r="M73" i="4" s="1"/>
  <c r="J81" i="4"/>
  <c r="K81" i="4" s="1"/>
  <c r="L81" i="4"/>
  <c r="M81" i="4" s="1"/>
  <c r="J89" i="4"/>
  <c r="K89" i="4" s="1"/>
  <c r="L89" i="4"/>
  <c r="M89" i="4" s="1"/>
  <c r="J111" i="4"/>
  <c r="K111" i="4" s="1"/>
  <c r="L111" i="4"/>
  <c r="M111" i="4" s="1"/>
  <c r="J132" i="4"/>
  <c r="K132" i="4" s="1"/>
  <c r="L132" i="4"/>
  <c r="M132" i="4" s="1"/>
  <c r="L63" i="4"/>
  <c r="M63" i="4" s="1"/>
  <c r="J63" i="4"/>
  <c r="K63" i="4" s="1"/>
  <c r="N63" i="4" s="1"/>
  <c r="L71" i="4"/>
  <c r="M71" i="4" s="1"/>
  <c r="J71" i="4"/>
  <c r="K71" i="4" s="1"/>
  <c r="L87" i="4"/>
  <c r="M87" i="4" s="1"/>
  <c r="J87" i="4"/>
  <c r="K87" i="4" s="1"/>
  <c r="N87" i="4" s="1"/>
  <c r="J107" i="4"/>
  <c r="K107" i="4" s="1"/>
  <c r="N107" i="4" s="1"/>
  <c r="J116" i="4"/>
  <c r="K116" i="4" s="1"/>
  <c r="N116" i="4" s="1"/>
  <c r="J130" i="4"/>
  <c r="K130" i="4" s="1"/>
  <c r="N130" i="4" s="1"/>
  <c r="L136" i="3"/>
  <c r="G138" i="1"/>
  <c r="G147" i="5" l="1"/>
  <c r="G148" i="5" s="1"/>
  <c r="G155" i="5" s="1"/>
  <c r="N83" i="4"/>
  <c r="N71" i="4"/>
  <c r="N91" i="4"/>
  <c r="N59" i="4"/>
  <c r="G152" i="4"/>
  <c r="G153" i="4" s="1"/>
  <c r="G146" i="4"/>
  <c r="G145" i="4"/>
  <c r="G144" i="4"/>
  <c r="N81" i="4"/>
  <c r="N65" i="4"/>
  <c r="L136" i="4"/>
  <c r="L151" i="4" s="1"/>
  <c r="N132" i="4"/>
  <c r="N61" i="4"/>
  <c r="N69" i="4"/>
  <c r="K155" i="4"/>
  <c r="N89" i="4"/>
  <c r="N57" i="4"/>
  <c r="N111" i="4"/>
  <c r="N97" i="4"/>
  <c r="N67" i="4"/>
  <c r="N124" i="4"/>
  <c r="N99" i="4"/>
  <c r="N75" i="4"/>
  <c r="N56" i="4"/>
  <c r="L120" i="4"/>
  <c r="N73" i="4"/>
  <c r="N85" i="4"/>
  <c r="N77" i="4"/>
  <c r="G152" i="3"/>
  <c r="G132" i="3"/>
  <c r="G131" i="3"/>
  <c r="G130" i="3"/>
  <c r="G126" i="3"/>
  <c r="G125" i="3"/>
  <c r="G124" i="3"/>
  <c r="G123" i="3"/>
  <c r="G116" i="3"/>
  <c r="G112" i="3"/>
  <c r="G111" i="3"/>
  <c r="G110" i="3"/>
  <c r="G109" i="3"/>
  <c r="G108" i="3"/>
  <c r="G107" i="3"/>
  <c r="G106" i="3"/>
  <c r="G100" i="3"/>
  <c r="G99" i="3"/>
  <c r="G98" i="3"/>
  <c r="G97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47" i="3"/>
  <c r="G46" i="3"/>
  <c r="G45" i="3"/>
  <c r="G44" i="3"/>
  <c r="G43" i="3"/>
  <c r="G42" i="3"/>
  <c r="G37" i="3"/>
  <c r="G36" i="3"/>
  <c r="G35" i="3"/>
  <c r="G34" i="3"/>
  <c r="G33" i="3"/>
  <c r="G32" i="3"/>
  <c r="G31" i="3"/>
  <c r="G30" i="3"/>
  <c r="G29" i="3"/>
  <c r="G28" i="3"/>
  <c r="G21" i="3"/>
  <c r="G22" i="3"/>
  <c r="G23" i="3"/>
  <c r="G20" i="3"/>
  <c r="G127" i="3"/>
  <c r="M132" i="3"/>
  <c r="M131" i="3"/>
  <c r="M130" i="3"/>
  <c r="M129" i="3"/>
  <c r="M128" i="3"/>
  <c r="N128" i="3" s="1"/>
  <c r="M127" i="3"/>
  <c r="M126" i="3"/>
  <c r="M125" i="3"/>
  <c r="M124" i="3"/>
  <c r="M123" i="3"/>
  <c r="N129" i="3"/>
  <c r="N127" i="3"/>
  <c r="M122" i="3"/>
  <c r="N122" i="3" s="1"/>
  <c r="M121" i="3"/>
  <c r="N121" i="3" s="1"/>
  <c r="M119" i="3"/>
  <c r="N119" i="3" s="1"/>
  <c r="M118" i="3"/>
  <c r="N118" i="3" s="1"/>
  <c r="M117" i="3"/>
  <c r="N117" i="3" s="1"/>
  <c r="M116" i="3"/>
  <c r="M115" i="3"/>
  <c r="N115" i="3" s="1"/>
  <c r="M114" i="3"/>
  <c r="N114" i="3" s="1"/>
  <c r="M113" i="3"/>
  <c r="N113" i="3" s="1"/>
  <c r="M112" i="3"/>
  <c r="M111" i="3"/>
  <c r="M110" i="3"/>
  <c r="M109" i="3"/>
  <c r="M108" i="3"/>
  <c r="M107" i="3"/>
  <c r="M106" i="3"/>
  <c r="M105" i="3"/>
  <c r="N105" i="3" s="1"/>
  <c r="M104" i="3"/>
  <c r="N104" i="3" s="1"/>
  <c r="M103" i="3"/>
  <c r="N103" i="3" s="1"/>
  <c r="M102" i="3"/>
  <c r="N102" i="3" s="1"/>
  <c r="M101" i="3"/>
  <c r="N101" i="3" s="1"/>
  <c r="N16" i="3"/>
  <c r="N17" i="3"/>
  <c r="N18" i="3"/>
  <c r="N19" i="3"/>
  <c r="N20" i="3"/>
  <c r="N24" i="3"/>
  <c r="N25" i="3"/>
  <c r="N26" i="3"/>
  <c r="N27" i="3"/>
  <c r="N38" i="3"/>
  <c r="N39" i="3"/>
  <c r="N40" i="3"/>
  <c r="N41" i="3"/>
  <c r="N48" i="3"/>
  <c r="N49" i="3"/>
  <c r="N50" i="3"/>
  <c r="N51" i="3"/>
  <c r="N93" i="3"/>
  <c r="N94" i="3"/>
  <c r="N95" i="3"/>
  <c r="N96" i="3"/>
  <c r="M24" i="3"/>
  <c r="M25" i="3"/>
  <c r="M26" i="3"/>
  <c r="M27" i="3"/>
  <c r="M31" i="3"/>
  <c r="M32" i="3"/>
  <c r="M36" i="3"/>
  <c r="M37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6" i="3"/>
  <c r="M17" i="3"/>
  <c r="M18" i="3"/>
  <c r="M19" i="3"/>
  <c r="M20" i="3"/>
  <c r="M21" i="3"/>
  <c r="M23" i="3"/>
  <c r="L28" i="3"/>
  <c r="M28" i="3" s="1"/>
  <c r="K28" i="3"/>
  <c r="I15" i="3"/>
  <c r="L15" i="3" s="1"/>
  <c r="K83" i="3"/>
  <c r="N83" i="3" s="1"/>
  <c r="I112" i="3"/>
  <c r="K20" i="3"/>
  <c r="L20" i="3"/>
  <c r="N107" i="3" l="1"/>
  <c r="N108" i="3"/>
  <c r="N126" i="3"/>
  <c r="L120" i="3"/>
  <c r="M15" i="3"/>
  <c r="K15" i="3"/>
  <c r="G147" i="4"/>
  <c r="G148" i="4" s="1"/>
  <c r="G155" i="4" s="1"/>
  <c r="M120" i="4"/>
  <c r="N120" i="4" s="1"/>
  <c r="L143" i="4"/>
  <c r="L152" i="4"/>
  <c r="L153" i="4" s="1"/>
  <c r="N28" i="3"/>
  <c r="L151" i="3"/>
  <c r="L152" i="3" s="1"/>
  <c r="L153" i="3" s="1"/>
  <c r="L132" i="3"/>
  <c r="L131" i="3"/>
  <c r="L130" i="3"/>
  <c r="L126" i="3"/>
  <c r="L125" i="3"/>
  <c r="L124" i="3"/>
  <c r="L123" i="3"/>
  <c r="L116" i="3"/>
  <c r="L112" i="3"/>
  <c r="L111" i="3"/>
  <c r="L110" i="3"/>
  <c r="L109" i="3"/>
  <c r="L108" i="3"/>
  <c r="L107" i="3"/>
  <c r="L106" i="3"/>
  <c r="L100" i="3"/>
  <c r="L99" i="3"/>
  <c r="L98" i="3"/>
  <c r="L97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47" i="3"/>
  <c r="L46" i="3"/>
  <c r="M46" i="3" s="1"/>
  <c r="L45" i="3"/>
  <c r="L44" i="3"/>
  <c r="L43" i="3"/>
  <c r="L42" i="3"/>
  <c r="L37" i="3"/>
  <c r="L36" i="3"/>
  <c r="L35" i="3"/>
  <c r="M35" i="3" s="1"/>
  <c r="L34" i="3"/>
  <c r="M34" i="3" s="1"/>
  <c r="L33" i="3"/>
  <c r="M33" i="3" s="1"/>
  <c r="L32" i="3"/>
  <c r="L31" i="3"/>
  <c r="L30" i="3"/>
  <c r="M30" i="3" s="1"/>
  <c r="L29" i="3"/>
  <c r="L23" i="3"/>
  <c r="L22" i="3"/>
  <c r="M22" i="3" s="1"/>
  <c r="L21" i="3"/>
  <c r="K124" i="3"/>
  <c r="N124" i="3" s="1"/>
  <c r="K130" i="3"/>
  <c r="N130" i="3" s="1"/>
  <c r="K131" i="3"/>
  <c r="N131" i="3" s="1"/>
  <c r="K21" i="3"/>
  <c r="N21" i="3" s="1"/>
  <c r="K29" i="3"/>
  <c r="K32" i="3"/>
  <c r="N32" i="3" s="1"/>
  <c r="K33" i="3"/>
  <c r="K36" i="3"/>
  <c r="N36" i="3" s="1"/>
  <c r="K37" i="3"/>
  <c r="N37" i="3" s="1"/>
  <c r="K44" i="3"/>
  <c r="N44" i="3" s="1"/>
  <c r="K45" i="3"/>
  <c r="N45" i="3" s="1"/>
  <c r="K52" i="3"/>
  <c r="N52" i="3" s="1"/>
  <c r="K53" i="3"/>
  <c r="N53" i="3" s="1"/>
  <c r="K56" i="3"/>
  <c r="N56" i="3" s="1"/>
  <c r="K57" i="3"/>
  <c r="N57" i="3" s="1"/>
  <c r="K60" i="3"/>
  <c r="N60" i="3" s="1"/>
  <c r="K61" i="3"/>
  <c r="N61" i="3" s="1"/>
  <c r="K64" i="3"/>
  <c r="N64" i="3" s="1"/>
  <c r="K65" i="3"/>
  <c r="N65" i="3" s="1"/>
  <c r="K68" i="3"/>
  <c r="N68" i="3" s="1"/>
  <c r="K69" i="3"/>
  <c r="N69" i="3" s="1"/>
  <c r="K72" i="3"/>
  <c r="N72" i="3" s="1"/>
  <c r="K73" i="3"/>
  <c r="N73" i="3" s="1"/>
  <c r="K76" i="3"/>
  <c r="N76" i="3" s="1"/>
  <c r="K77" i="3"/>
  <c r="N77" i="3" s="1"/>
  <c r="K80" i="3"/>
  <c r="N80" i="3" s="1"/>
  <c r="K81" i="3"/>
  <c r="N81" i="3" s="1"/>
  <c r="K84" i="3"/>
  <c r="N84" i="3" s="1"/>
  <c r="K85" i="3"/>
  <c r="N85" i="3" s="1"/>
  <c r="K88" i="3"/>
  <c r="N88" i="3" s="1"/>
  <c r="K89" i="3"/>
  <c r="N89" i="3" s="1"/>
  <c r="K92" i="3"/>
  <c r="N92" i="3" s="1"/>
  <c r="K97" i="3"/>
  <c r="N97" i="3" s="1"/>
  <c r="K100" i="3"/>
  <c r="N100" i="3" s="1"/>
  <c r="K106" i="3"/>
  <c r="N106" i="3" s="1"/>
  <c r="K109" i="3"/>
  <c r="N109" i="3" s="1"/>
  <c r="K110" i="3"/>
  <c r="N110" i="3" s="1"/>
  <c r="K116" i="3"/>
  <c r="N116" i="3" s="1"/>
  <c r="I20" i="3"/>
  <c r="I21" i="3"/>
  <c r="I22" i="3"/>
  <c r="K22" i="3" s="1"/>
  <c r="I23" i="3"/>
  <c r="K23" i="3" s="1"/>
  <c r="N23" i="3" s="1"/>
  <c r="I28" i="3"/>
  <c r="I29" i="3"/>
  <c r="I30" i="3"/>
  <c r="K30" i="3" s="1"/>
  <c r="I31" i="3"/>
  <c r="K31" i="3" s="1"/>
  <c r="N31" i="3" s="1"/>
  <c r="I32" i="3"/>
  <c r="I33" i="3"/>
  <c r="I34" i="3"/>
  <c r="K34" i="3" s="1"/>
  <c r="I35" i="3"/>
  <c r="K35" i="3" s="1"/>
  <c r="I36" i="3"/>
  <c r="I37" i="3"/>
  <c r="I42" i="3"/>
  <c r="K42" i="3" s="1"/>
  <c r="N42" i="3" s="1"/>
  <c r="I43" i="3"/>
  <c r="K43" i="3" s="1"/>
  <c r="N43" i="3" s="1"/>
  <c r="I44" i="3"/>
  <c r="I45" i="3"/>
  <c r="I46" i="3"/>
  <c r="K46" i="3" s="1"/>
  <c r="I47" i="3"/>
  <c r="K47" i="3" s="1"/>
  <c r="N47" i="3" s="1"/>
  <c r="I52" i="3"/>
  <c r="I53" i="3"/>
  <c r="I54" i="3"/>
  <c r="K54" i="3" s="1"/>
  <c r="N54" i="3" s="1"/>
  <c r="I55" i="3"/>
  <c r="K55" i="3" s="1"/>
  <c r="N55" i="3" s="1"/>
  <c r="I56" i="3"/>
  <c r="I57" i="3"/>
  <c r="I58" i="3"/>
  <c r="K58" i="3" s="1"/>
  <c r="N58" i="3" s="1"/>
  <c r="I59" i="3"/>
  <c r="K59" i="3" s="1"/>
  <c r="N59" i="3" s="1"/>
  <c r="I60" i="3"/>
  <c r="I61" i="3"/>
  <c r="I62" i="3"/>
  <c r="K62" i="3" s="1"/>
  <c r="N62" i="3" s="1"/>
  <c r="I63" i="3"/>
  <c r="K63" i="3" s="1"/>
  <c r="N63" i="3" s="1"/>
  <c r="I64" i="3"/>
  <c r="I65" i="3"/>
  <c r="I66" i="3"/>
  <c r="K66" i="3" s="1"/>
  <c r="N66" i="3" s="1"/>
  <c r="I67" i="3"/>
  <c r="K67" i="3" s="1"/>
  <c r="N67" i="3" s="1"/>
  <c r="I68" i="3"/>
  <c r="I69" i="3"/>
  <c r="I70" i="3"/>
  <c r="K70" i="3" s="1"/>
  <c r="N70" i="3" s="1"/>
  <c r="I71" i="3"/>
  <c r="K71" i="3" s="1"/>
  <c r="N71" i="3" s="1"/>
  <c r="I72" i="3"/>
  <c r="I73" i="3"/>
  <c r="I74" i="3"/>
  <c r="K74" i="3" s="1"/>
  <c r="N74" i="3" s="1"/>
  <c r="I75" i="3"/>
  <c r="K75" i="3" s="1"/>
  <c r="N75" i="3" s="1"/>
  <c r="I76" i="3"/>
  <c r="I77" i="3"/>
  <c r="I78" i="3"/>
  <c r="K78" i="3" s="1"/>
  <c r="N78" i="3" s="1"/>
  <c r="I79" i="3"/>
  <c r="K79" i="3" s="1"/>
  <c r="N79" i="3" s="1"/>
  <c r="I80" i="3"/>
  <c r="I81" i="3"/>
  <c r="I82" i="3"/>
  <c r="K82" i="3" s="1"/>
  <c r="N82" i="3" s="1"/>
  <c r="I83" i="3"/>
  <c r="I84" i="3"/>
  <c r="I85" i="3"/>
  <c r="I86" i="3"/>
  <c r="K86" i="3" s="1"/>
  <c r="N86" i="3" s="1"/>
  <c r="I87" i="3"/>
  <c r="K87" i="3" s="1"/>
  <c r="N87" i="3" s="1"/>
  <c r="I88" i="3"/>
  <c r="I89" i="3"/>
  <c r="I90" i="3"/>
  <c r="K90" i="3" s="1"/>
  <c r="N90" i="3" s="1"/>
  <c r="I91" i="3"/>
  <c r="K91" i="3" s="1"/>
  <c r="N91" i="3" s="1"/>
  <c r="I92" i="3"/>
  <c r="I97" i="3"/>
  <c r="I98" i="3"/>
  <c r="K98" i="3" s="1"/>
  <c r="N98" i="3" s="1"/>
  <c r="I99" i="3"/>
  <c r="K99" i="3" s="1"/>
  <c r="N99" i="3" s="1"/>
  <c r="I100" i="3"/>
  <c r="I106" i="3"/>
  <c r="I107" i="3"/>
  <c r="K107" i="3" s="1"/>
  <c r="I108" i="3"/>
  <c r="K108" i="3" s="1"/>
  <c r="I109" i="3"/>
  <c r="I110" i="3"/>
  <c r="I111" i="3"/>
  <c r="K111" i="3" s="1"/>
  <c r="N111" i="3" s="1"/>
  <c r="K112" i="3"/>
  <c r="N112" i="3" s="1"/>
  <c r="I116" i="3"/>
  <c r="I123" i="3"/>
  <c r="K123" i="3" s="1"/>
  <c r="N123" i="3" s="1"/>
  <c r="I124" i="3"/>
  <c r="I125" i="3"/>
  <c r="K125" i="3" s="1"/>
  <c r="N125" i="3" s="1"/>
  <c r="I126" i="3"/>
  <c r="K126" i="3" s="1"/>
  <c r="I130" i="3"/>
  <c r="I131" i="3"/>
  <c r="I132" i="3"/>
  <c r="K132" i="3" s="1"/>
  <c r="N132" i="3" s="1"/>
  <c r="F147" i="3"/>
  <c r="C126" i="3"/>
  <c r="G117" i="3"/>
  <c r="C110" i="3"/>
  <c r="C109" i="3"/>
  <c r="G104" i="3"/>
  <c r="C47" i="3"/>
  <c r="G41" i="3"/>
  <c r="D34" i="3"/>
  <c r="C34" i="3"/>
  <c r="G17" i="3"/>
  <c r="G2" i="3"/>
  <c r="B2" i="3"/>
  <c r="BN1" i="3"/>
  <c r="BP1" i="3" s="1"/>
  <c r="BG1" i="3"/>
  <c r="BF1" i="3"/>
  <c r="AS1" i="3"/>
  <c r="AL1" i="3"/>
  <c r="AK1" i="3"/>
  <c r="AE1" i="3"/>
  <c r="BQ1" i="3" s="1"/>
  <c r="G1" i="3"/>
  <c r="F1" i="3"/>
  <c r="AW30" i="1"/>
  <c r="AX30" i="1" s="1"/>
  <c r="AW34" i="1"/>
  <c r="AW45" i="1"/>
  <c r="AW99" i="1"/>
  <c r="AW100" i="1"/>
  <c r="AW107" i="1"/>
  <c r="AW111" i="1"/>
  <c r="AX111" i="1" s="1"/>
  <c r="AW125" i="1"/>
  <c r="AW131" i="1"/>
  <c r="AW132" i="1"/>
  <c r="AW130" i="1"/>
  <c r="AW126" i="1"/>
  <c r="AW124" i="1"/>
  <c r="AW123" i="1"/>
  <c r="AW116" i="1"/>
  <c r="AW112" i="1"/>
  <c r="AW110" i="1"/>
  <c r="AX110" i="1" s="1"/>
  <c r="AW109" i="1"/>
  <c r="AX109" i="1" s="1"/>
  <c r="AW108" i="1"/>
  <c r="AW106" i="1"/>
  <c r="AW98" i="1"/>
  <c r="AW97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X54" i="1" s="1"/>
  <c r="AW53" i="1"/>
  <c r="AX53" i="1" s="1"/>
  <c r="AW52" i="1"/>
  <c r="AX52" i="1" s="1"/>
  <c r="AW46" i="1"/>
  <c r="AW44" i="1"/>
  <c r="AW43" i="1"/>
  <c r="AW42" i="1"/>
  <c r="AW37" i="1"/>
  <c r="AW36" i="1"/>
  <c r="AW35" i="1"/>
  <c r="AW33" i="1"/>
  <c r="AW32" i="1"/>
  <c r="AW31" i="1"/>
  <c r="AW29" i="1"/>
  <c r="AW28" i="1"/>
  <c r="AW23" i="1"/>
  <c r="AW22" i="1"/>
  <c r="AW21" i="1"/>
  <c r="AW20" i="1"/>
  <c r="AW15" i="1"/>
  <c r="AX112" i="1"/>
  <c r="AX55" i="1"/>
  <c r="AX37" i="1"/>
  <c r="K155" i="3" l="1"/>
  <c r="N15" i="3"/>
  <c r="K156" i="4"/>
  <c r="L146" i="4"/>
  <c r="L144" i="4"/>
  <c r="L145" i="4"/>
  <c r="N46" i="3"/>
  <c r="N33" i="3"/>
  <c r="N35" i="3"/>
  <c r="N34" i="3"/>
  <c r="N22" i="3"/>
  <c r="N30" i="3"/>
  <c r="M120" i="3"/>
  <c r="N120" i="3" s="1"/>
  <c r="M29" i="3"/>
  <c r="N29" i="3" s="1"/>
  <c r="G39" i="3"/>
  <c r="G115" i="3"/>
  <c r="G49" i="3"/>
  <c r="G102" i="3"/>
  <c r="BR1" i="3"/>
  <c r="G14" i="3"/>
  <c r="G51" i="3"/>
  <c r="G25" i="3"/>
  <c r="G19" i="3"/>
  <c r="AF1" i="3"/>
  <c r="AM1" i="3" s="1"/>
  <c r="G27" i="3"/>
  <c r="G96" i="3"/>
  <c r="G134" i="3"/>
  <c r="G113" i="3"/>
  <c r="G122" i="3"/>
  <c r="G94" i="3"/>
  <c r="I27" i="1"/>
  <c r="I38" i="1"/>
  <c r="I39" i="1"/>
  <c r="I40" i="1"/>
  <c r="I41" i="1"/>
  <c r="I48" i="1"/>
  <c r="I49" i="1"/>
  <c r="I50" i="1"/>
  <c r="I51" i="1"/>
  <c r="I93" i="1"/>
  <c r="I94" i="1"/>
  <c r="I95" i="1"/>
  <c r="I96" i="1"/>
  <c r="I101" i="1"/>
  <c r="I102" i="1"/>
  <c r="I103" i="1"/>
  <c r="I104" i="1"/>
  <c r="I105" i="1"/>
  <c r="I113" i="1"/>
  <c r="I114" i="1"/>
  <c r="I115" i="1"/>
  <c r="I16" i="1"/>
  <c r="I17" i="1"/>
  <c r="I18" i="1"/>
  <c r="I19" i="1"/>
  <c r="I24" i="1"/>
  <c r="I25" i="1"/>
  <c r="I26" i="1"/>
  <c r="L148" i="4" l="1"/>
  <c r="L155" i="4" s="1"/>
  <c r="L156" i="4" s="1"/>
  <c r="L147" i="4"/>
  <c r="G120" i="3"/>
  <c r="L143" i="3"/>
  <c r="L144" i="3" s="1"/>
  <c r="G136" i="3"/>
  <c r="G140" i="3" s="1"/>
  <c r="G129" i="3"/>
  <c r="B2" i="1"/>
  <c r="C34" i="1"/>
  <c r="D34" i="1"/>
  <c r="C47" i="1"/>
  <c r="C109" i="1"/>
  <c r="C110" i="1"/>
  <c r="C126" i="1"/>
  <c r="F1" i="1"/>
  <c r="G1" i="1"/>
  <c r="G2" i="1"/>
  <c r="G12" i="1"/>
  <c r="AS120" i="1"/>
  <c r="AY123" i="1"/>
  <c r="AY124" i="1"/>
  <c r="AY125" i="1"/>
  <c r="AY126" i="1"/>
  <c r="AY130" i="1"/>
  <c r="AY131" i="1"/>
  <c r="AY132" i="1"/>
  <c r="P1" i="1"/>
  <c r="AT1" i="1"/>
  <c r="CF1" i="1"/>
  <c r="CT1" i="1"/>
  <c r="DG1" i="1"/>
  <c r="DH1" i="1"/>
  <c r="DO1" i="1"/>
  <c r="DQ1" i="1" s="1"/>
  <c r="DR1" i="1"/>
  <c r="K2" i="1"/>
  <c r="AH4" i="1"/>
  <c r="AI4" i="1"/>
  <c r="O12" i="1"/>
  <c r="AH14" i="1"/>
  <c r="AI14" i="1"/>
  <c r="H15" i="1"/>
  <c r="I15" i="1" s="1"/>
  <c r="J15" i="1"/>
  <c r="AX15" i="1" s="1"/>
  <c r="L15" i="1"/>
  <c r="R15" i="1"/>
  <c r="R17" i="1" s="1"/>
  <c r="S15" i="1"/>
  <c r="S17" i="1" s="1"/>
  <c r="T15" i="1"/>
  <c r="T17" i="1" s="1"/>
  <c r="AH15" i="1"/>
  <c r="AI15" i="1"/>
  <c r="AP15" i="1"/>
  <c r="AR15" i="1" s="1"/>
  <c r="AH16" i="1"/>
  <c r="AI16" i="1"/>
  <c r="AP16" i="1"/>
  <c r="AR16" i="1" s="1"/>
  <c r="AS16" i="1"/>
  <c r="Q17" i="1"/>
  <c r="AH17" i="1"/>
  <c r="AI17" i="1"/>
  <c r="AH19" i="1"/>
  <c r="AI19" i="1"/>
  <c r="H20" i="1"/>
  <c r="J20" i="1"/>
  <c r="AX20" i="1" s="1"/>
  <c r="Q20" i="1"/>
  <c r="R20" i="1"/>
  <c r="AH20" i="1"/>
  <c r="AI20" i="1"/>
  <c r="AP20" i="1"/>
  <c r="AR20" i="1" s="1"/>
  <c r="Q21" i="1"/>
  <c r="H21" i="1"/>
  <c r="J21" i="1"/>
  <c r="L21" i="1"/>
  <c r="R21" i="1"/>
  <c r="AH21" i="1"/>
  <c r="AI21" i="1"/>
  <c r="H22" i="1"/>
  <c r="J22" i="1"/>
  <c r="AX22" i="1" s="1"/>
  <c r="L22" i="1"/>
  <c r="Q22" i="1"/>
  <c r="R22" i="1"/>
  <c r="S22" i="1"/>
  <c r="AH22" i="1"/>
  <c r="AI22" i="1"/>
  <c r="AP22" i="1"/>
  <c r="AR22" i="1" s="1"/>
  <c r="H23" i="1"/>
  <c r="J23" i="1"/>
  <c r="AX23" i="1" s="1"/>
  <c r="L23" i="1"/>
  <c r="AH23" i="1"/>
  <c r="AI23" i="1"/>
  <c r="AH24" i="1"/>
  <c r="AI24" i="1"/>
  <c r="AP24" i="1"/>
  <c r="AR24" i="1"/>
  <c r="AS24" i="1"/>
  <c r="T25" i="1"/>
  <c r="AH25" i="1"/>
  <c r="AI25" i="1"/>
  <c r="AH27" i="1"/>
  <c r="AI27" i="1"/>
  <c r="H28" i="1"/>
  <c r="J28" i="1"/>
  <c r="L28" i="1"/>
  <c r="R28" i="1"/>
  <c r="S28" i="1"/>
  <c r="AH28" i="1"/>
  <c r="AI28" i="1"/>
  <c r="AP28" i="1"/>
  <c r="AR28" i="1" s="1"/>
  <c r="H29" i="1"/>
  <c r="J29" i="1"/>
  <c r="AX29" i="1" s="1"/>
  <c r="L29" i="1"/>
  <c r="AH29" i="1"/>
  <c r="AI29" i="1"/>
  <c r="H31" i="1"/>
  <c r="J31" i="1"/>
  <c r="AX31" i="1" s="1"/>
  <c r="L31" i="1"/>
  <c r="R31" i="1"/>
  <c r="S31" i="1"/>
  <c r="T31" i="1"/>
  <c r="AH31" i="1"/>
  <c r="AI31" i="1"/>
  <c r="AP31" i="1"/>
  <c r="AR31" i="1" s="1"/>
  <c r="H32" i="1"/>
  <c r="J32" i="1"/>
  <c r="AX32" i="1" s="1"/>
  <c r="L32" i="1"/>
  <c r="Q32" i="1"/>
  <c r="R32" i="1"/>
  <c r="S32" i="1"/>
  <c r="T32" i="1"/>
  <c r="AH32" i="1"/>
  <c r="AI32" i="1"/>
  <c r="AP32" i="1"/>
  <c r="AR32" i="1" s="1"/>
  <c r="H33" i="1"/>
  <c r="J33" i="1"/>
  <c r="AX33" i="1" s="1"/>
  <c r="L33" i="1"/>
  <c r="Q33" i="1"/>
  <c r="R33" i="1"/>
  <c r="S33" i="1"/>
  <c r="T33" i="1"/>
  <c r="AH33" i="1"/>
  <c r="AI33" i="1"/>
  <c r="AP33" i="1"/>
  <c r="AR33" i="1"/>
  <c r="H34" i="1"/>
  <c r="J34" i="1"/>
  <c r="Q34" i="1"/>
  <c r="R34" i="1"/>
  <c r="AH34" i="1"/>
  <c r="AI34" i="1"/>
  <c r="AP34" i="1"/>
  <c r="AR34" i="1" s="1"/>
  <c r="H35" i="1"/>
  <c r="J35" i="1"/>
  <c r="AX35" i="1" s="1"/>
  <c r="L35" i="1"/>
  <c r="T35" i="1"/>
  <c r="AH35" i="1"/>
  <c r="AI35" i="1"/>
  <c r="AP35" i="1"/>
  <c r="AR35" i="1" s="1"/>
  <c r="H36" i="1"/>
  <c r="J36" i="1"/>
  <c r="AX36" i="1" s="1"/>
  <c r="L36" i="1"/>
  <c r="AH36" i="1"/>
  <c r="AI36" i="1"/>
  <c r="AH38" i="1"/>
  <c r="AI38" i="1"/>
  <c r="AP38" i="1"/>
  <c r="AR38" i="1"/>
  <c r="AS38" i="1"/>
  <c r="AH39" i="1"/>
  <c r="AI39" i="1"/>
  <c r="AH41" i="1"/>
  <c r="AI41" i="1"/>
  <c r="H42" i="1"/>
  <c r="J42" i="1"/>
  <c r="AX42" i="1" s="1"/>
  <c r="L42" i="1"/>
  <c r="AH42" i="1"/>
  <c r="AI42" i="1"/>
  <c r="AP42" i="1"/>
  <c r="AR42" i="1" s="1"/>
  <c r="H43" i="1"/>
  <c r="J43" i="1"/>
  <c r="AX43" i="1" s="1"/>
  <c r="L43" i="1"/>
  <c r="AH43" i="1"/>
  <c r="AI43" i="1"/>
  <c r="H44" i="1"/>
  <c r="J44" i="1"/>
  <c r="AX44" i="1" s="1"/>
  <c r="L44" i="1"/>
  <c r="AH44" i="1"/>
  <c r="AI44" i="1"/>
  <c r="H45" i="1"/>
  <c r="J45" i="1"/>
  <c r="AX45" i="1" s="1"/>
  <c r="L45" i="1"/>
  <c r="AH45" i="1"/>
  <c r="AI45" i="1"/>
  <c r="H46" i="1"/>
  <c r="J46" i="1"/>
  <c r="AX46" i="1" s="1"/>
  <c r="L46" i="1"/>
  <c r="AH46" i="1"/>
  <c r="AI46" i="1"/>
  <c r="AH48" i="1"/>
  <c r="AI48" i="1"/>
  <c r="AP48" i="1"/>
  <c r="AR48" i="1" s="1"/>
  <c r="AS48" i="1"/>
  <c r="AH49" i="1"/>
  <c r="AI49" i="1"/>
  <c r="AH51" i="1"/>
  <c r="AI51" i="1"/>
  <c r="H55" i="1"/>
  <c r="J55" i="1"/>
  <c r="L55" i="1"/>
  <c r="AH55" i="1"/>
  <c r="AI55" i="1"/>
  <c r="AS55" i="1"/>
  <c r="H56" i="1"/>
  <c r="J56" i="1"/>
  <c r="AX56" i="1" s="1"/>
  <c r="L56" i="1"/>
  <c r="T56" i="1"/>
  <c r="AH56" i="1"/>
  <c r="AI56" i="1"/>
  <c r="AP56" i="1"/>
  <c r="AR56" i="1" s="1"/>
  <c r="H57" i="1"/>
  <c r="J57" i="1"/>
  <c r="L57" i="1"/>
  <c r="T57" i="1"/>
  <c r="AH57" i="1"/>
  <c r="AI57" i="1"/>
  <c r="AP57" i="1"/>
  <c r="AR57" i="1" s="1"/>
  <c r="H58" i="1"/>
  <c r="J58" i="1"/>
  <c r="AX58" i="1" s="1"/>
  <c r="L58" i="1"/>
  <c r="T58" i="1"/>
  <c r="AH58" i="1"/>
  <c r="AI58" i="1"/>
  <c r="AP58" i="1"/>
  <c r="AR58" i="1" s="1"/>
  <c r="H59" i="1"/>
  <c r="J59" i="1"/>
  <c r="L59" i="1"/>
  <c r="Q59" i="1"/>
  <c r="R59" i="1"/>
  <c r="T59" i="1"/>
  <c r="AH59" i="1"/>
  <c r="AI59" i="1"/>
  <c r="AP59" i="1"/>
  <c r="AR59" i="1" s="1"/>
  <c r="H60" i="1"/>
  <c r="J60" i="1"/>
  <c r="AX60" i="1" s="1"/>
  <c r="L60" i="1"/>
  <c r="Q60" i="1"/>
  <c r="AH60" i="1"/>
  <c r="AI60" i="1"/>
  <c r="H61" i="1"/>
  <c r="J61" i="1"/>
  <c r="AX61" i="1" s="1"/>
  <c r="L61" i="1"/>
  <c r="Q61" i="1"/>
  <c r="AH61" i="1"/>
  <c r="AI61" i="1"/>
  <c r="H62" i="1"/>
  <c r="J62" i="1"/>
  <c r="L62" i="1"/>
  <c r="Q62" i="1"/>
  <c r="R62" i="1"/>
  <c r="T62" i="1"/>
  <c r="AH62" i="1"/>
  <c r="AI62" i="1"/>
  <c r="AP62" i="1"/>
  <c r="AR62" i="1" s="1"/>
  <c r="AZ62" i="1"/>
  <c r="H63" i="1"/>
  <c r="J63" i="1"/>
  <c r="AX63" i="1" s="1"/>
  <c r="L63" i="1"/>
  <c r="T63" i="1"/>
  <c r="AH63" i="1"/>
  <c r="AI63" i="1"/>
  <c r="AP63" i="1"/>
  <c r="AR63" i="1" s="1"/>
  <c r="H64" i="1"/>
  <c r="J64" i="1"/>
  <c r="AX64" i="1" s="1"/>
  <c r="L64" i="1"/>
  <c r="AH64" i="1"/>
  <c r="AI64" i="1"/>
  <c r="H65" i="1"/>
  <c r="J65" i="1"/>
  <c r="AX65" i="1" s="1"/>
  <c r="L65" i="1"/>
  <c r="T65" i="1"/>
  <c r="AH65" i="1"/>
  <c r="AI65" i="1"/>
  <c r="AP65" i="1"/>
  <c r="AR65" i="1" s="1"/>
  <c r="H66" i="1"/>
  <c r="J66" i="1"/>
  <c r="AX66" i="1" s="1"/>
  <c r="L66" i="1"/>
  <c r="AH66" i="1"/>
  <c r="AI66" i="1"/>
  <c r="H67" i="1"/>
  <c r="J67" i="1"/>
  <c r="AX67" i="1" s="1"/>
  <c r="L67" i="1"/>
  <c r="T67" i="1"/>
  <c r="AH67" i="1"/>
  <c r="AI67" i="1"/>
  <c r="AP67" i="1"/>
  <c r="AR67" i="1" s="1"/>
  <c r="H68" i="1"/>
  <c r="J68" i="1"/>
  <c r="AX68" i="1" s="1"/>
  <c r="L68" i="1"/>
  <c r="AH68" i="1"/>
  <c r="AI68" i="1"/>
  <c r="H69" i="1"/>
  <c r="J69" i="1"/>
  <c r="L69" i="1"/>
  <c r="Q69" i="1"/>
  <c r="T69" i="1"/>
  <c r="AH69" i="1"/>
  <c r="AI69" i="1"/>
  <c r="AP69" i="1"/>
  <c r="AR69" i="1" s="1"/>
  <c r="T70" i="1"/>
  <c r="H70" i="1"/>
  <c r="J70" i="1"/>
  <c r="AX70" i="1" s="1"/>
  <c r="L70" i="1"/>
  <c r="Q70" i="1"/>
  <c r="AH70" i="1"/>
  <c r="AI70" i="1"/>
  <c r="Q71" i="1"/>
  <c r="H71" i="1"/>
  <c r="J71" i="1"/>
  <c r="AX71" i="1" s="1"/>
  <c r="L71" i="1"/>
  <c r="AH71" i="1"/>
  <c r="AI71" i="1"/>
  <c r="H72" i="1"/>
  <c r="J72" i="1"/>
  <c r="AX72" i="1" s="1"/>
  <c r="L72" i="1"/>
  <c r="T72" i="1"/>
  <c r="AH72" i="1"/>
  <c r="AI72" i="1"/>
  <c r="AP72" i="1"/>
  <c r="AR72" i="1" s="1"/>
  <c r="R73" i="1"/>
  <c r="H73" i="1"/>
  <c r="J73" i="1"/>
  <c r="AX73" i="1" s="1"/>
  <c r="L73" i="1"/>
  <c r="S73" i="1"/>
  <c r="T73" i="1"/>
  <c r="AH73" i="1"/>
  <c r="AI73" i="1"/>
  <c r="AP73" i="1"/>
  <c r="AR73" i="1" s="1"/>
  <c r="T74" i="1"/>
  <c r="H74" i="1"/>
  <c r="J74" i="1"/>
  <c r="L74" i="1"/>
  <c r="Q74" i="1"/>
  <c r="R74" i="1"/>
  <c r="AH74" i="1"/>
  <c r="AI74" i="1"/>
  <c r="H75" i="1"/>
  <c r="J75" i="1"/>
  <c r="L75" i="1"/>
  <c r="Q75" i="1"/>
  <c r="R75" i="1"/>
  <c r="T75" i="1"/>
  <c r="AH75" i="1"/>
  <c r="AI75" i="1"/>
  <c r="AP75" i="1"/>
  <c r="AR75" i="1"/>
  <c r="H76" i="1"/>
  <c r="J76" i="1"/>
  <c r="L76" i="1"/>
  <c r="Q76" i="1"/>
  <c r="R76" i="1"/>
  <c r="T76" i="1"/>
  <c r="AH76" i="1"/>
  <c r="AI76" i="1"/>
  <c r="AP76" i="1"/>
  <c r="AR76" i="1" s="1"/>
  <c r="H77" i="1"/>
  <c r="N77" i="1" s="1"/>
  <c r="J77" i="1"/>
  <c r="AX77" i="1" s="1"/>
  <c r="L77" i="1"/>
  <c r="Q77" i="1"/>
  <c r="R77" i="1"/>
  <c r="T77" i="1"/>
  <c r="AH77" i="1"/>
  <c r="AI77" i="1"/>
  <c r="AP77" i="1"/>
  <c r="AR77" i="1" s="1"/>
  <c r="H78" i="1"/>
  <c r="J78" i="1"/>
  <c r="L78" i="1"/>
  <c r="Q78" i="1"/>
  <c r="R78" i="1"/>
  <c r="T78" i="1"/>
  <c r="AH78" i="1"/>
  <c r="AI78" i="1"/>
  <c r="AP78" i="1"/>
  <c r="AR78" i="1" s="1"/>
  <c r="H79" i="1"/>
  <c r="J79" i="1"/>
  <c r="L79" i="1"/>
  <c r="Q79" i="1"/>
  <c r="R79" i="1"/>
  <c r="T79" i="1"/>
  <c r="AH79" i="1"/>
  <c r="AI79" i="1"/>
  <c r="AP79" i="1"/>
  <c r="AR79" i="1"/>
  <c r="H80" i="1"/>
  <c r="J80" i="1"/>
  <c r="L80" i="1"/>
  <c r="Q80" i="1"/>
  <c r="R80" i="1"/>
  <c r="T80" i="1"/>
  <c r="AH80" i="1"/>
  <c r="AI80" i="1"/>
  <c r="AP80" i="1"/>
  <c r="AR80" i="1" s="1"/>
  <c r="H81" i="1"/>
  <c r="N81" i="1" s="1"/>
  <c r="J81" i="1"/>
  <c r="L81" i="1"/>
  <c r="Q81" i="1"/>
  <c r="R81" i="1"/>
  <c r="T81" i="1"/>
  <c r="AH81" i="1"/>
  <c r="AI81" i="1"/>
  <c r="AP81" i="1"/>
  <c r="AR81" i="1" s="1"/>
  <c r="H82" i="1"/>
  <c r="J82" i="1"/>
  <c r="L82" i="1"/>
  <c r="Q82" i="1"/>
  <c r="R82" i="1"/>
  <c r="T82" i="1"/>
  <c r="AH82" i="1"/>
  <c r="AI82" i="1"/>
  <c r="AP82" i="1"/>
  <c r="AR82" i="1" s="1"/>
  <c r="H83" i="1"/>
  <c r="J83" i="1"/>
  <c r="L83" i="1"/>
  <c r="Q83" i="1"/>
  <c r="R83" i="1"/>
  <c r="T83" i="1"/>
  <c r="AH83" i="1"/>
  <c r="AI83" i="1"/>
  <c r="AP83" i="1"/>
  <c r="AR83" i="1" s="1"/>
  <c r="H84" i="1"/>
  <c r="J84" i="1"/>
  <c r="L84" i="1"/>
  <c r="Q84" i="1"/>
  <c r="R84" i="1"/>
  <c r="T84" i="1"/>
  <c r="AH84" i="1"/>
  <c r="AI84" i="1"/>
  <c r="AP84" i="1"/>
  <c r="AR84" i="1" s="1"/>
  <c r="H85" i="1"/>
  <c r="J85" i="1"/>
  <c r="L85" i="1"/>
  <c r="Q85" i="1"/>
  <c r="R85" i="1"/>
  <c r="T85" i="1"/>
  <c r="AH85" i="1"/>
  <c r="AI85" i="1"/>
  <c r="AP85" i="1"/>
  <c r="AR85" i="1" s="1"/>
  <c r="H86" i="1"/>
  <c r="J86" i="1"/>
  <c r="L86" i="1"/>
  <c r="Q86" i="1"/>
  <c r="R86" i="1"/>
  <c r="T86" i="1"/>
  <c r="AH86" i="1"/>
  <c r="AI86" i="1"/>
  <c r="AP86" i="1"/>
  <c r="AR86" i="1" s="1"/>
  <c r="H87" i="1"/>
  <c r="J87" i="1"/>
  <c r="AX87" i="1" s="1"/>
  <c r="L87" i="1"/>
  <c r="Q87" i="1"/>
  <c r="R87" i="1"/>
  <c r="T87" i="1"/>
  <c r="AH87" i="1"/>
  <c r="AI87" i="1"/>
  <c r="AP87" i="1"/>
  <c r="AR87" i="1" s="1"/>
  <c r="H88" i="1"/>
  <c r="J88" i="1"/>
  <c r="L88" i="1"/>
  <c r="Q88" i="1"/>
  <c r="R88" i="1"/>
  <c r="AH88" i="1"/>
  <c r="AI88" i="1"/>
  <c r="H89" i="1"/>
  <c r="J89" i="1"/>
  <c r="L89" i="1"/>
  <c r="Q89" i="1"/>
  <c r="AH89" i="1"/>
  <c r="AI89" i="1"/>
  <c r="R90" i="1"/>
  <c r="H90" i="1"/>
  <c r="J90" i="1"/>
  <c r="L90" i="1"/>
  <c r="Q90" i="1"/>
  <c r="T90" i="1"/>
  <c r="AH90" i="1"/>
  <c r="AI90" i="1"/>
  <c r="AP90" i="1"/>
  <c r="AR90" i="1" s="1"/>
  <c r="H91" i="1"/>
  <c r="J91" i="1"/>
  <c r="L91" i="1"/>
  <c r="Q91" i="1"/>
  <c r="R91" i="1"/>
  <c r="T91" i="1"/>
  <c r="AH91" i="1"/>
  <c r="AI91" i="1"/>
  <c r="AP91" i="1"/>
  <c r="AR91" i="1" s="1"/>
  <c r="R92" i="1"/>
  <c r="H92" i="1"/>
  <c r="J92" i="1"/>
  <c r="AX92" i="1" s="1"/>
  <c r="L92" i="1"/>
  <c r="Q92" i="1"/>
  <c r="T92" i="1"/>
  <c r="AH92" i="1"/>
  <c r="AI92" i="1"/>
  <c r="AP92" i="1"/>
  <c r="AR92" i="1" s="1"/>
  <c r="AH93" i="1"/>
  <c r="AI93" i="1"/>
  <c r="AP93" i="1"/>
  <c r="AR93" i="1" s="1"/>
  <c r="AS93" i="1"/>
  <c r="AH94" i="1"/>
  <c r="AI94" i="1"/>
  <c r="AH96" i="1"/>
  <c r="AI96" i="1"/>
  <c r="H97" i="1"/>
  <c r="J97" i="1"/>
  <c r="L97" i="1"/>
  <c r="Q97" i="1"/>
  <c r="R97" i="1"/>
  <c r="S97" i="1"/>
  <c r="AH97" i="1"/>
  <c r="AI97" i="1"/>
  <c r="AP97" i="1"/>
  <c r="AR97" i="1" s="1"/>
  <c r="Q98" i="1"/>
  <c r="H98" i="1"/>
  <c r="J98" i="1"/>
  <c r="L98" i="1"/>
  <c r="R98" i="1"/>
  <c r="S98" i="1"/>
  <c r="AH98" i="1"/>
  <c r="AI98" i="1"/>
  <c r="AP98" i="1"/>
  <c r="AR98" i="1" s="1"/>
  <c r="Q99" i="1"/>
  <c r="H99" i="1"/>
  <c r="J99" i="1"/>
  <c r="L99" i="1"/>
  <c r="AH99" i="1"/>
  <c r="AI99" i="1"/>
  <c r="R100" i="1"/>
  <c r="H100" i="1"/>
  <c r="J100" i="1"/>
  <c r="L100" i="1"/>
  <c r="Q100" i="1"/>
  <c r="T100" i="1"/>
  <c r="T102" i="1" s="1"/>
  <c r="AH100" i="1"/>
  <c r="AI100" i="1"/>
  <c r="AP100" i="1"/>
  <c r="AR100" i="1" s="1"/>
  <c r="AH101" i="1"/>
  <c r="AI101" i="1"/>
  <c r="AP101" i="1"/>
  <c r="AR101" i="1" s="1"/>
  <c r="AS101" i="1"/>
  <c r="AH102" i="1"/>
  <c r="AI102" i="1"/>
  <c r="AH104" i="1"/>
  <c r="AI104" i="1"/>
  <c r="AH105" i="1"/>
  <c r="AI105" i="1"/>
  <c r="AP105" i="1"/>
  <c r="AR105" i="1" s="1"/>
  <c r="AS105" i="1"/>
  <c r="Q106" i="1"/>
  <c r="H106" i="1"/>
  <c r="J106" i="1"/>
  <c r="L106" i="1"/>
  <c r="T106" i="1"/>
  <c r="AH106" i="1"/>
  <c r="AI106" i="1"/>
  <c r="AP106" i="1"/>
  <c r="AR106" i="1" s="1"/>
  <c r="Q107" i="1"/>
  <c r="H107" i="1"/>
  <c r="J107" i="1"/>
  <c r="L107" i="1"/>
  <c r="T107" i="1"/>
  <c r="AH107" i="1"/>
  <c r="AI107" i="1"/>
  <c r="AP107" i="1"/>
  <c r="AR107" i="1" s="1"/>
  <c r="Q108" i="1"/>
  <c r="H108" i="1"/>
  <c r="J108" i="1"/>
  <c r="L108" i="1"/>
  <c r="T108" i="1"/>
  <c r="AH108" i="1"/>
  <c r="AI108" i="1"/>
  <c r="AP108" i="1"/>
  <c r="AR108" i="1" s="1"/>
  <c r="AP111" i="1"/>
  <c r="AR111" i="1" s="1"/>
  <c r="AH111" i="1"/>
  <c r="AI111" i="1"/>
  <c r="AS111" i="1"/>
  <c r="AH113" i="1"/>
  <c r="AI113" i="1"/>
  <c r="AH115" i="1"/>
  <c r="AI115" i="1"/>
  <c r="R116" i="1"/>
  <c r="H116" i="1"/>
  <c r="J116" i="1"/>
  <c r="L116" i="1"/>
  <c r="S116" i="1"/>
  <c r="S117" i="1" s="1"/>
  <c r="T116" i="1"/>
  <c r="T117" i="1" s="1"/>
  <c r="AH116" i="1"/>
  <c r="AI116" i="1"/>
  <c r="AP116" i="1"/>
  <c r="AR116" i="1" s="1"/>
  <c r="Q117" i="1"/>
  <c r="AH117" i="1"/>
  <c r="AI117" i="1"/>
  <c r="AT143" i="1"/>
  <c r="AS144" i="1"/>
  <c r="AS145" i="1"/>
  <c r="AS146" i="1"/>
  <c r="N147" i="1"/>
  <c r="K148" i="1"/>
  <c r="L148" i="1"/>
  <c r="M148" i="1"/>
  <c r="AT151" i="1"/>
  <c r="AS152" i="1"/>
  <c r="K153" i="1"/>
  <c r="L153" i="1"/>
  <c r="M153" i="1"/>
  <c r="G138" i="3" l="1"/>
  <c r="G143" i="3" s="1"/>
  <c r="L145" i="3"/>
  <c r="L146" i="3"/>
  <c r="M116" i="1"/>
  <c r="AX116" i="1"/>
  <c r="M108" i="1"/>
  <c r="AX108" i="1"/>
  <c r="M107" i="1"/>
  <c r="AX107" i="1"/>
  <c r="M106" i="1"/>
  <c r="AX106" i="1"/>
  <c r="M98" i="1"/>
  <c r="AX98" i="1"/>
  <c r="M91" i="1"/>
  <c r="AX91" i="1"/>
  <c r="M90" i="1"/>
  <c r="AX90" i="1"/>
  <c r="M83" i="1"/>
  <c r="AX83" i="1"/>
  <c r="M80" i="1"/>
  <c r="AX80" i="1"/>
  <c r="M74" i="1"/>
  <c r="AX74" i="1"/>
  <c r="M62" i="1"/>
  <c r="AX62" i="1"/>
  <c r="M21" i="1"/>
  <c r="AX21" i="1"/>
  <c r="M100" i="1"/>
  <c r="AX100" i="1"/>
  <c r="M86" i="1"/>
  <c r="AX86" i="1"/>
  <c r="M82" i="1"/>
  <c r="AX82" i="1"/>
  <c r="M75" i="1"/>
  <c r="AX75" i="1"/>
  <c r="M59" i="1"/>
  <c r="AX59" i="1"/>
  <c r="M97" i="1"/>
  <c r="AX97" i="1"/>
  <c r="M88" i="1"/>
  <c r="AX88" i="1"/>
  <c r="M87" i="1"/>
  <c r="M85" i="1"/>
  <c r="AX85" i="1"/>
  <c r="M81" i="1"/>
  <c r="AX81" i="1"/>
  <c r="M79" i="1"/>
  <c r="AX79" i="1"/>
  <c r="N75" i="1"/>
  <c r="N73" i="1"/>
  <c r="M69" i="1"/>
  <c r="AX69" i="1"/>
  <c r="M34" i="1"/>
  <c r="AX34" i="1"/>
  <c r="M28" i="1"/>
  <c r="AX28" i="1"/>
  <c r="M99" i="1"/>
  <c r="AX99" i="1"/>
  <c r="M89" i="1"/>
  <c r="AX89" i="1"/>
  <c r="N85" i="1"/>
  <c r="M84" i="1"/>
  <c r="AX84" i="1"/>
  <c r="M78" i="1"/>
  <c r="AX78" i="1"/>
  <c r="M77" i="1"/>
  <c r="M76" i="1"/>
  <c r="AX76" i="1"/>
  <c r="M57" i="1"/>
  <c r="AX57" i="1"/>
  <c r="M31" i="1"/>
  <c r="N22" i="1"/>
  <c r="G151" i="3"/>
  <c r="AT105" i="1"/>
  <c r="AT101" i="1"/>
  <c r="AT16" i="1"/>
  <c r="I20" i="1"/>
  <c r="AY20" i="1"/>
  <c r="AY61" i="1"/>
  <c r="I61" i="1"/>
  <c r="I86" i="1"/>
  <c r="AY86" i="1"/>
  <c r="AY83" i="1"/>
  <c r="I83" i="1"/>
  <c r="AY79" i="1"/>
  <c r="I79" i="1"/>
  <c r="AY69" i="1"/>
  <c r="I69" i="1"/>
  <c r="AY45" i="1"/>
  <c r="I45" i="1"/>
  <c r="AY42" i="1"/>
  <c r="I42" i="1"/>
  <c r="AY112" i="1"/>
  <c r="I112" i="1"/>
  <c r="AY77" i="1"/>
  <c r="I77" i="1"/>
  <c r="AY53" i="1"/>
  <c r="I53" i="1"/>
  <c r="AS22" i="1"/>
  <c r="AT22" i="1" s="1"/>
  <c r="AY22" i="1"/>
  <c r="I22" i="1"/>
  <c r="AY97" i="1"/>
  <c r="I97" i="1"/>
  <c r="AY92" i="1"/>
  <c r="I92" i="1"/>
  <c r="N83" i="1"/>
  <c r="AT111" i="1"/>
  <c r="AY100" i="1"/>
  <c r="I100" i="1"/>
  <c r="AY91" i="1"/>
  <c r="I91" i="1"/>
  <c r="AY90" i="1"/>
  <c r="I90" i="1"/>
  <c r="AY87" i="1"/>
  <c r="I87" i="1"/>
  <c r="AY84" i="1"/>
  <c r="I84" i="1"/>
  <c r="AY81" i="1"/>
  <c r="I81" i="1"/>
  <c r="AY72" i="1"/>
  <c r="I72" i="1"/>
  <c r="I70" i="1"/>
  <c r="AY70" i="1"/>
  <c r="AY59" i="1"/>
  <c r="I59" i="1"/>
  <c r="I46" i="1"/>
  <c r="AY46" i="1"/>
  <c r="AY109" i="1"/>
  <c r="I109" i="1"/>
  <c r="AY54" i="1"/>
  <c r="I54" i="1"/>
  <c r="AW47" i="1"/>
  <c r="I47" i="1"/>
  <c r="AY67" i="1"/>
  <c r="I67" i="1"/>
  <c r="AY63" i="1"/>
  <c r="I63" i="1"/>
  <c r="AY56" i="1"/>
  <c r="I56" i="1"/>
  <c r="AY80" i="1"/>
  <c r="I80" i="1"/>
  <c r="I78" i="1"/>
  <c r="AY78" i="1"/>
  <c r="AY76" i="1"/>
  <c r="I76" i="1"/>
  <c r="AY68" i="1"/>
  <c r="I68" i="1"/>
  <c r="AY66" i="1"/>
  <c r="I66" i="1"/>
  <c r="AY64" i="1"/>
  <c r="I64" i="1"/>
  <c r="AY57" i="1"/>
  <c r="I57" i="1"/>
  <c r="AY44" i="1"/>
  <c r="I44" i="1"/>
  <c r="AY35" i="1"/>
  <c r="I35" i="1"/>
  <c r="AY29" i="1"/>
  <c r="I29" i="1"/>
  <c r="AY28" i="1"/>
  <c r="I28" i="1"/>
  <c r="I111" i="1"/>
  <c r="AY111" i="1"/>
  <c r="AY52" i="1"/>
  <c r="I52" i="1"/>
  <c r="AY37" i="1"/>
  <c r="I37" i="1"/>
  <c r="AY71" i="1"/>
  <c r="I71" i="1"/>
  <c r="AY65" i="1"/>
  <c r="I65" i="1"/>
  <c r="AY33" i="1"/>
  <c r="I33" i="1"/>
  <c r="AY23" i="1"/>
  <c r="I23" i="1"/>
  <c r="AY108" i="1"/>
  <c r="I108" i="1"/>
  <c r="AY99" i="1"/>
  <c r="I99" i="1"/>
  <c r="AY88" i="1"/>
  <c r="I88" i="1"/>
  <c r="AY116" i="1"/>
  <c r="I116" i="1"/>
  <c r="I107" i="1"/>
  <c r="AY107" i="1"/>
  <c r="AY106" i="1"/>
  <c r="I106" i="1"/>
  <c r="AY89" i="1"/>
  <c r="I89" i="1"/>
  <c r="I82" i="1"/>
  <c r="AY82" i="1"/>
  <c r="N80" i="1"/>
  <c r="I74" i="1"/>
  <c r="AY74" i="1"/>
  <c r="I62" i="1"/>
  <c r="AY62" i="1"/>
  <c r="AY60" i="1"/>
  <c r="I60" i="1"/>
  <c r="I58" i="1"/>
  <c r="AY58" i="1"/>
  <c r="AY43" i="1"/>
  <c r="I43" i="1"/>
  <c r="AY36" i="1"/>
  <c r="I36" i="1"/>
  <c r="AY32" i="1"/>
  <c r="I32" i="1"/>
  <c r="AY110" i="1"/>
  <c r="I110" i="1"/>
  <c r="AY55" i="1"/>
  <c r="I55" i="1"/>
  <c r="I30" i="1"/>
  <c r="AY30" i="1"/>
  <c r="AY15" i="1"/>
  <c r="AS147" i="1"/>
  <c r="G57" i="1"/>
  <c r="O57" i="1" s="1"/>
  <c r="G35" i="1"/>
  <c r="G89" i="1"/>
  <c r="O89" i="1" s="1"/>
  <c r="G60" i="1"/>
  <c r="O60" i="1" s="1"/>
  <c r="AS60" i="1"/>
  <c r="G84" i="1"/>
  <c r="O84" i="1" s="1"/>
  <c r="G81" i="1"/>
  <c r="O81" i="1" s="1"/>
  <c r="AS81" i="1"/>
  <c r="AT81" i="1" s="1"/>
  <c r="G80" i="1"/>
  <c r="O80" i="1" s="1"/>
  <c r="AS80" i="1"/>
  <c r="AT80" i="1" s="1"/>
  <c r="G68" i="1"/>
  <c r="O68" i="1" s="1"/>
  <c r="G44" i="1"/>
  <c r="O44" i="1" s="1"/>
  <c r="G69" i="1"/>
  <c r="G42" i="1"/>
  <c r="G66" i="1"/>
  <c r="O66" i="1" s="1"/>
  <c r="G15" i="1"/>
  <c r="G14" i="1" s="1"/>
  <c r="G130" i="1"/>
  <c r="G112" i="1"/>
  <c r="G99" i="1"/>
  <c r="O99" i="1" s="1"/>
  <c r="G72" i="1"/>
  <c r="O72" i="1" s="1"/>
  <c r="G70" i="1"/>
  <c r="G62" i="1"/>
  <c r="O62" i="1" s="1"/>
  <c r="G59" i="1"/>
  <c r="O59" i="1" s="1"/>
  <c r="G46" i="1"/>
  <c r="O46" i="1" s="1"/>
  <c r="G32" i="1"/>
  <c r="G132" i="1"/>
  <c r="G125" i="1"/>
  <c r="G110" i="1"/>
  <c r="G52" i="1"/>
  <c r="G30" i="1"/>
  <c r="G100" i="1"/>
  <c r="O100" i="1" s="1"/>
  <c r="G64" i="1"/>
  <c r="O64" i="1" s="1"/>
  <c r="G116" i="1"/>
  <c r="G107" i="1"/>
  <c r="G106" i="1"/>
  <c r="G92" i="1"/>
  <c r="O92" i="1" s="1"/>
  <c r="G71" i="1"/>
  <c r="G67" i="1"/>
  <c r="O67" i="1" s="1"/>
  <c r="G65" i="1"/>
  <c r="O65" i="1" s="1"/>
  <c r="G63" i="1"/>
  <c r="O63" i="1" s="1"/>
  <c r="N62" i="1"/>
  <c r="G45" i="1"/>
  <c r="O45" i="1" s="1"/>
  <c r="G131" i="1"/>
  <c r="G124" i="1"/>
  <c r="G109" i="1"/>
  <c r="G55" i="1"/>
  <c r="G33" i="1"/>
  <c r="O33" i="1" s="1"/>
  <c r="G123" i="1"/>
  <c r="G108" i="1"/>
  <c r="G85" i="1"/>
  <c r="O85" i="1" s="1"/>
  <c r="G77" i="1"/>
  <c r="O77" i="1" s="1"/>
  <c r="G61" i="1"/>
  <c r="O61" i="1" s="1"/>
  <c r="G54" i="1"/>
  <c r="G47" i="1"/>
  <c r="G37" i="1"/>
  <c r="G88" i="1"/>
  <c r="O88" i="1" s="1"/>
  <c r="N84" i="1"/>
  <c r="N82" i="1"/>
  <c r="N78" i="1"/>
  <c r="G74" i="1"/>
  <c r="O74" i="1" s="1"/>
  <c r="G43" i="1"/>
  <c r="O43" i="1" s="1"/>
  <c r="N33" i="1"/>
  <c r="G29" i="1"/>
  <c r="G23" i="1"/>
  <c r="G126" i="1"/>
  <c r="G111" i="1"/>
  <c r="G53" i="1"/>
  <c r="G20" i="1"/>
  <c r="G90" i="1"/>
  <c r="O90" i="1" s="1"/>
  <c r="AS90" i="1"/>
  <c r="AT90" i="1" s="1"/>
  <c r="G86" i="1"/>
  <c r="O86" i="1" s="1"/>
  <c r="AS86" i="1"/>
  <c r="AT86" i="1" s="1"/>
  <c r="G58" i="1"/>
  <c r="AS58" i="1"/>
  <c r="AT58" i="1" s="1"/>
  <c r="G36" i="1"/>
  <c r="O36" i="1" s="1"/>
  <c r="AS36" i="1"/>
  <c r="G91" i="1"/>
  <c r="O91" i="1" s="1"/>
  <c r="AS91" i="1"/>
  <c r="AT91" i="1" s="1"/>
  <c r="G83" i="1"/>
  <c r="O83" i="1" s="1"/>
  <c r="AS83" i="1"/>
  <c r="AT83" i="1" s="1"/>
  <c r="G79" i="1"/>
  <c r="O79" i="1" s="1"/>
  <c r="AS79" i="1"/>
  <c r="AT79" i="1" s="1"/>
  <c r="G28" i="1"/>
  <c r="O28" i="1" s="1"/>
  <c r="AS28" i="1"/>
  <c r="AT28" i="1" s="1"/>
  <c r="G115" i="1"/>
  <c r="G117" i="1"/>
  <c r="G97" i="1"/>
  <c r="O97" i="1" s="1"/>
  <c r="AS97" i="1"/>
  <c r="AT97" i="1" s="1"/>
  <c r="G87" i="1"/>
  <c r="O87" i="1" s="1"/>
  <c r="AS87" i="1"/>
  <c r="AT87" i="1" s="1"/>
  <c r="G76" i="1"/>
  <c r="O76" i="1" s="1"/>
  <c r="AS76" i="1"/>
  <c r="AT76" i="1" s="1"/>
  <c r="G56" i="1"/>
  <c r="O56" i="1" s="1"/>
  <c r="AS56" i="1"/>
  <c r="AT56" i="1" s="1"/>
  <c r="G82" i="1"/>
  <c r="O82" i="1" s="1"/>
  <c r="AS82" i="1"/>
  <c r="AT82" i="1" s="1"/>
  <c r="G78" i="1"/>
  <c r="O78" i="1" s="1"/>
  <c r="AS78" i="1"/>
  <c r="AT78" i="1" s="1"/>
  <c r="N97" i="1"/>
  <c r="AS31" i="1"/>
  <c r="AT31" i="1" s="1"/>
  <c r="AS77" i="1"/>
  <c r="AT77" i="1" s="1"/>
  <c r="AS61" i="1"/>
  <c r="AT93" i="1"/>
  <c r="N79" i="1"/>
  <c r="N76" i="1"/>
  <c r="M61" i="1"/>
  <c r="M43" i="1"/>
  <c r="M15" i="1"/>
  <c r="AT152" i="1"/>
  <c r="N116" i="1"/>
  <c r="AT144" i="1"/>
  <c r="N98" i="1"/>
  <c r="U97" i="1"/>
  <c r="M92" i="1"/>
  <c r="AS89" i="1"/>
  <c r="N86" i="1"/>
  <c r="AS85" i="1"/>
  <c r="AT85" i="1" s="1"/>
  <c r="AS84" i="1"/>
  <c r="AT84" i="1" s="1"/>
  <c r="M58" i="1"/>
  <c r="AT38" i="1"/>
  <c r="N34" i="1"/>
  <c r="N32" i="1"/>
  <c r="AT24" i="1"/>
  <c r="G22" i="1"/>
  <c r="O22" i="1" s="1"/>
  <c r="AS57" i="1"/>
  <c r="AT57" i="1" s="1"/>
  <c r="F147" i="1"/>
  <c r="T39" i="1"/>
  <c r="T113" i="1"/>
  <c r="U33" i="1"/>
  <c r="U31" i="1"/>
  <c r="U20" i="1"/>
  <c r="AT48" i="1"/>
  <c r="U22" i="1"/>
  <c r="U15" i="1"/>
  <c r="U17" i="1" s="1"/>
  <c r="U98" i="1"/>
  <c r="Q102" i="1"/>
  <c r="AS99" i="1"/>
  <c r="U116" i="1"/>
  <c r="U117" i="1" s="1"/>
  <c r="R117" i="1"/>
  <c r="O108" i="1"/>
  <c r="AS108" i="1"/>
  <c r="AT108" i="1" s="1"/>
  <c r="AS107" i="1"/>
  <c r="AT107" i="1" s="1"/>
  <c r="AS106" i="1"/>
  <c r="AT106" i="1" s="1"/>
  <c r="AS116" i="1"/>
  <c r="AT116" i="1" s="1"/>
  <c r="Q113" i="1"/>
  <c r="N89" i="1"/>
  <c r="S89" i="1"/>
  <c r="O71" i="1"/>
  <c r="AS71" i="1"/>
  <c r="AT146" i="1"/>
  <c r="R45" i="1"/>
  <c r="N45" i="1"/>
  <c r="S45" i="1"/>
  <c r="Q45" i="1"/>
  <c r="AP45" i="1"/>
  <c r="AR45" i="1" s="1"/>
  <c r="T45" i="1"/>
  <c r="S108" i="1"/>
  <c r="N108" i="1"/>
  <c r="S107" i="1"/>
  <c r="N107" i="1"/>
  <c r="S106" i="1"/>
  <c r="N106" i="1"/>
  <c r="AP99" i="1"/>
  <c r="AR99" i="1" s="1"/>
  <c r="S99" i="1"/>
  <c r="N99" i="1"/>
  <c r="AS88" i="1"/>
  <c r="N88" i="1"/>
  <c r="S88" i="1"/>
  <c r="R72" i="1"/>
  <c r="N72" i="1"/>
  <c r="Q72" i="1"/>
  <c r="S72" i="1"/>
  <c r="R66" i="1"/>
  <c r="N66" i="1"/>
  <c r="S66" i="1"/>
  <c r="Q66" i="1"/>
  <c r="T66" i="1"/>
  <c r="AP66" i="1"/>
  <c r="AR66" i="1" s="1"/>
  <c r="R44" i="1"/>
  <c r="N44" i="1"/>
  <c r="S44" i="1"/>
  <c r="Q44" i="1"/>
  <c r="T44" i="1"/>
  <c r="AP44" i="1"/>
  <c r="AR44" i="1" s="1"/>
  <c r="AT145" i="1"/>
  <c r="R46" i="1"/>
  <c r="N46" i="1"/>
  <c r="S46" i="1"/>
  <c r="Q46" i="1"/>
  <c r="T46" i="1"/>
  <c r="AP46" i="1"/>
  <c r="AR46" i="1" s="1"/>
  <c r="R108" i="1"/>
  <c r="R107" i="1"/>
  <c r="R106" i="1"/>
  <c r="S100" i="1"/>
  <c r="U100" i="1" s="1"/>
  <c r="N100" i="1"/>
  <c r="R99" i="1"/>
  <c r="S92" i="1"/>
  <c r="U92" i="1" s="1"/>
  <c r="N92" i="1"/>
  <c r="N91" i="1"/>
  <c r="S91" i="1"/>
  <c r="U91" i="1" s="1"/>
  <c r="AP89" i="1"/>
  <c r="AR89" i="1" s="1"/>
  <c r="AT89" i="1" s="1"/>
  <c r="T89" i="1"/>
  <c r="N87" i="1"/>
  <c r="S87" i="1"/>
  <c r="U87" i="1" s="1"/>
  <c r="R64" i="1"/>
  <c r="N64" i="1"/>
  <c r="S64" i="1"/>
  <c r="Q64" i="1"/>
  <c r="T64" i="1"/>
  <c r="AP64" i="1"/>
  <c r="AR64" i="1" s="1"/>
  <c r="AS62" i="1"/>
  <c r="AT62" i="1" s="1"/>
  <c r="R68" i="1"/>
  <c r="N68" i="1"/>
  <c r="S68" i="1"/>
  <c r="Q68" i="1"/>
  <c r="T68" i="1"/>
  <c r="AP68" i="1"/>
  <c r="AR68" i="1" s="1"/>
  <c r="S36" i="1"/>
  <c r="AP36" i="1"/>
  <c r="AR36" i="1" s="1"/>
  <c r="N36" i="1"/>
  <c r="R36" i="1"/>
  <c r="AT153" i="1"/>
  <c r="AS100" i="1"/>
  <c r="AT100" i="1" s="1"/>
  <c r="AS92" i="1"/>
  <c r="AT92" i="1" s="1"/>
  <c r="N90" i="1"/>
  <c r="S90" i="1"/>
  <c r="U90" i="1" s="1"/>
  <c r="R89" i="1"/>
  <c r="AP88" i="1"/>
  <c r="AR88" i="1" s="1"/>
  <c r="T88" i="1"/>
  <c r="AS74" i="1"/>
  <c r="S86" i="1"/>
  <c r="U86" i="1" s="1"/>
  <c r="S85" i="1"/>
  <c r="U85" i="1" s="1"/>
  <c r="S84" i="1"/>
  <c r="U84" i="1" s="1"/>
  <c r="S83" i="1"/>
  <c r="U83" i="1" s="1"/>
  <c r="S82" i="1"/>
  <c r="U82" i="1" s="1"/>
  <c r="S81" i="1"/>
  <c r="U81" i="1" s="1"/>
  <c r="S80" i="1"/>
  <c r="U80" i="1" s="1"/>
  <c r="S79" i="1"/>
  <c r="U79" i="1" s="1"/>
  <c r="S78" i="1"/>
  <c r="U78" i="1" s="1"/>
  <c r="S77" i="1"/>
  <c r="U77" i="1" s="1"/>
  <c r="S76" i="1"/>
  <c r="U76" i="1" s="1"/>
  <c r="S75" i="1"/>
  <c r="U75" i="1" s="1"/>
  <c r="S74" i="1"/>
  <c r="U74" i="1" s="1"/>
  <c r="N74" i="1"/>
  <c r="AS72" i="1"/>
  <c r="AT72" i="1" s="1"/>
  <c r="AP70" i="1"/>
  <c r="AR70" i="1" s="1"/>
  <c r="M70" i="1"/>
  <c r="R69" i="1"/>
  <c r="N69" i="1"/>
  <c r="S69" i="1"/>
  <c r="M67" i="1"/>
  <c r="M65" i="1"/>
  <c r="M63" i="1"/>
  <c r="M60" i="1"/>
  <c r="R42" i="1"/>
  <c r="N42" i="1"/>
  <c r="S42" i="1"/>
  <c r="Q42" i="1"/>
  <c r="T42" i="1"/>
  <c r="O35" i="1"/>
  <c r="AS35" i="1"/>
  <c r="AT35" i="1" s="1"/>
  <c r="M72" i="1"/>
  <c r="R71" i="1"/>
  <c r="N71" i="1"/>
  <c r="S71" i="1"/>
  <c r="O70" i="1"/>
  <c r="AS70" i="1"/>
  <c r="M68" i="1"/>
  <c r="M66" i="1"/>
  <c r="M64" i="1"/>
  <c r="AS59" i="1"/>
  <c r="AT59" i="1" s="1"/>
  <c r="R29" i="1"/>
  <c r="N29" i="1"/>
  <c r="S29" i="1"/>
  <c r="AP29" i="1"/>
  <c r="AR29" i="1" s="1"/>
  <c r="Q29" i="1"/>
  <c r="O23" i="1"/>
  <c r="AS23" i="1"/>
  <c r="AP74" i="1"/>
  <c r="AR74" i="1" s="1"/>
  <c r="Q73" i="1"/>
  <c r="U73" i="1" s="1"/>
  <c r="M73" i="1"/>
  <c r="AP71" i="1"/>
  <c r="AR71" i="1" s="1"/>
  <c r="T71" i="1"/>
  <c r="M71" i="1"/>
  <c r="R70" i="1"/>
  <c r="N70" i="1"/>
  <c r="S70" i="1"/>
  <c r="O69" i="1"/>
  <c r="AS69" i="1"/>
  <c r="AT69" i="1" s="1"/>
  <c r="R67" i="1"/>
  <c r="N67" i="1"/>
  <c r="S67" i="1"/>
  <c r="Q67" i="1"/>
  <c r="R65" i="1"/>
  <c r="N65" i="1"/>
  <c r="S65" i="1"/>
  <c r="Q65" i="1"/>
  <c r="R63" i="1"/>
  <c r="N63" i="1"/>
  <c r="S63" i="1"/>
  <c r="Q63" i="1"/>
  <c r="N60" i="1"/>
  <c r="S60" i="1"/>
  <c r="T60" i="1"/>
  <c r="AP60" i="1"/>
  <c r="AR60" i="1" s="1"/>
  <c r="AT60" i="1" s="1"/>
  <c r="R60" i="1"/>
  <c r="R55" i="1"/>
  <c r="R94" i="1" s="1"/>
  <c r="N55" i="1"/>
  <c r="S55" i="1"/>
  <c r="S94" i="1" s="1"/>
  <c r="Q55" i="1"/>
  <c r="T55" i="1"/>
  <c r="T94" i="1" s="1"/>
  <c r="AP55" i="1"/>
  <c r="AR55" i="1" s="1"/>
  <c r="AT55" i="1" s="1"/>
  <c r="M45" i="1"/>
  <c r="N61" i="1"/>
  <c r="S61" i="1"/>
  <c r="R58" i="1"/>
  <c r="N58" i="1"/>
  <c r="S58" i="1"/>
  <c r="R43" i="1"/>
  <c r="N43" i="1"/>
  <c r="S43" i="1"/>
  <c r="Q43" i="1"/>
  <c r="AS42" i="1"/>
  <c r="AT42" i="1" s="1"/>
  <c r="M35" i="1"/>
  <c r="O32" i="1"/>
  <c r="AS32" i="1"/>
  <c r="AT32" i="1" s="1"/>
  <c r="AS29" i="1"/>
  <c r="M23" i="1"/>
  <c r="AS15" i="1"/>
  <c r="AT15" i="1" s="1"/>
  <c r="AP61" i="1"/>
  <c r="AR61" i="1" s="1"/>
  <c r="T61" i="1"/>
  <c r="N59" i="1"/>
  <c r="S59" i="1"/>
  <c r="U59" i="1" s="1"/>
  <c r="Q58" i="1"/>
  <c r="R56" i="1"/>
  <c r="N56" i="1"/>
  <c r="S56" i="1"/>
  <c r="Q56" i="1"/>
  <c r="M55" i="1"/>
  <c r="T43" i="1"/>
  <c r="R35" i="1"/>
  <c r="N35" i="1"/>
  <c r="S35" i="1"/>
  <c r="Q35" i="1"/>
  <c r="R23" i="1"/>
  <c r="R25" i="1" s="1"/>
  <c r="N23" i="1"/>
  <c r="S23" i="1"/>
  <c r="AP23" i="1"/>
  <c r="AR23" i="1" s="1"/>
  <c r="Q23" i="1"/>
  <c r="N15" i="1"/>
  <c r="M20" i="1"/>
  <c r="M22" i="1"/>
  <c r="M32" i="1"/>
  <c r="M33" i="1"/>
  <c r="CM1" i="1"/>
  <c r="N28" i="1"/>
  <c r="N31" i="1"/>
  <c r="DS1" i="1"/>
  <c r="CL1" i="1"/>
  <c r="AS68" i="1"/>
  <c r="AS67" i="1"/>
  <c r="AT67" i="1" s="1"/>
  <c r="AS66" i="1"/>
  <c r="AS65" i="1"/>
  <c r="AT65" i="1" s="1"/>
  <c r="AS64" i="1"/>
  <c r="AS63" i="1"/>
  <c r="AT63" i="1" s="1"/>
  <c r="S62" i="1"/>
  <c r="U62" i="1" s="1"/>
  <c r="R61" i="1"/>
  <c r="O58" i="1"/>
  <c r="R57" i="1"/>
  <c r="N57" i="1"/>
  <c r="S57" i="1"/>
  <c r="Q57" i="1"/>
  <c r="M56" i="1"/>
  <c r="M46" i="1"/>
  <c r="M44" i="1"/>
  <c r="AP43" i="1"/>
  <c r="AR43" i="1" s="1"/>
  <c r="M42" i="1"/>
  <c r="M36" i="1"/>
  <c r="U34" i="1"/>
  <c r="AS34" i="1"/>
  <c r="AT34" i="1" s="1"/>
  <c r="AS33" i="1"/>
  <c r="AT33" i="1" s="1"/>
  <c r="U32" i="1"/>
  <c r="M29" i="1"/>
  <c r="U28" i="1"/>
  <c r="N20" i="1"/>
  <c r="CG1" i="1"/>
  <c r="CN1" i="1" s="1"/>
  <c r="AP21" i="1"/>
  <c r="AR21" i="1" s="1"/>
  <c r="S21" i="1"/>
  <c r="U21" i="1" s="1"/>
  <c r="N21" i="1"/>
  <c r="AS46" i="1"/>
  <c r="AS45" i="1"/>
  <c r="AS44" i="1"/>
  <c r="AS43" i="1"/>
  <c r="G144" i="3" l="1"/>
  <c r="G145" i="3"/>
  <c r="G146" i="3"/>
  <c r="L147" i="3"/>
  <c r="L148" i="3"/>
  <c r="L155" i="3" s="1"/>
  <c r="AT61" i="1"/>
  <c r="G134" i="1"/>
  <c r="AY47" i="1"/>
  <c r="AX47" i="1"/>
  <c r="G127" i="1"/>
  <c r="G122" i="1" s="1"/>
  <c r="AY73" i="1"/>
  <c r="I73" i="1"/>
  <c r="AY34" i="1"/>
  <c r="I34" i="1"/>
  <c r="U99" i="1"/>
  <c r="U107" i="1"/>
  <c r="AY21" i="1"/>
  <c r="I21" i="1"/>
  <c r="AY85" i="1"/>
  <c r="I85" i="1"/>
  <c r="I98" i="1"/>
  <c r="AY98" i="1"/>
  <c r="AY31" i="1"/>
  <c r="I31" i="1"/>
  <c r="AY75" i="1"/>
  <c r="I75" i="1"/>
  <c r="G104" i="1"/>
  <c r="G49" i="1"/>
  <c r="AT147" i="1"/>
  <c r="AT148" i="1" s="1"/>
  <c r="G41" i="1"/>
  <c r="G73" i="1"/>
  <c r="O73" i="1" s="1"/>
  <c r="G34" i="1"/>
  <c r="O34" i="1" s="1"/>
  <c r="AT71" i="1"/>
  <c r="G113" i="1"/>
  <c r="G17" i="1"/>
  <c r="G98" i="1"/>
  <c r="G21" i="1"/>
  <c r="O15" i="1"/>
  <c r="O14" i="1" s="1"/>
  <c r="V14" i="1" s="1"/>
  <c r="AS73" i="1"/>
  <c r="AT73" i="1" s="1"/>
  <c r="AT88" i="1"/>
  <c r="AT99" i="1"/>
  <c r="O107" i="1"/>
  <c r="G31" i="1"/>
  <c r="U70" i="1"/>
  <c r="U71" i="1"/>
  <c r="AT36" i="1"/>
  <c r="AT46" i="1"/>
  <c r="S113" i="1"/>
  <c r="G25" i="1"/>
  <c r="G75" i="1"/>
  <c r="AS75" i="1"/>
  <c r="AT75" i="1" s="1"/>
  <c r="U60" i="1"/>
  <c r="U106" i="1"/>
  <c r="AS21" i="1"/>
  <c r="AT21" i="1" s="1"/>
  <c r="AT68" i="1"/>
  <c r="AT64" i="1"/>
  <c r="S39" i="1"/>
  <c r="U108" i="1"/>
  <c r="U63" i="1"/>
  <c r="U65" i="1"/>
  <c r="U67" i="1"/>
  <c r="T49" i="1"/>
  <c r="T120" i="1" s="1"/>
  <c r="U89" i="1"/>
  <c r="U45" i="1"/>
  <c r="U69" i="1"/>
  <c r="U36" i="1"/>
  <c r="U88" i="1"/>
  <c r="S102" i="1"/>
  <c r="G129" i="1"/>
  <c r="G136" i="1"/>
  <c r="G140" i="1" s="1"/>
  <c r="G151" i="1" s="1"/>
  <c r="AT104" i="1"/>
  <c r="AT113" i="1"/>
  <c r="AT14" i="1"/>
  <c r="AT17" i="1"/>
  <c r="AT117" i="1"/>
  <c r="AT115" i="1"/>
  <c r="U102" i="1"/>
  <c r="AT43" i="1"/>
  <c r="AS20" i="1"/>
  <c r="AT20" i="1" s="1"/>
  <c r="U56" i="1"/>
  <c r="U43" i="1"/>
  <c r="O55" i="1"/>
  <c r="U61" i="1"/>
  <c r="M120" i="1"/>
  <c r="U55" i="1"/>
  <c r="U94" i="1" s="1"/>
  <c r="Q94" i="1"/>
  <c r="AT29" i="1"/>
  <c r="U64" i="1"/>
  <c r="U46" i="1"/>
  <c r="AT44" i="1"/>
  <c r="AT66" i="1"/>
  <c r="U72" i="1"/>
  <c r="AT45" i="1"/>
  <c r="R102" i="1"/>
  <c r="O42" i="1"/>
  <c r="R49" i="1"/>
  <c r="Q25" i="1"/>
  <c r="U23" i="1"/>
  <c r="U25" i="1" s="1"/>
  <c r="U58" i="1"/>
  <c r="AS98" i="1"/>
  <c r="AT98" i="1" s="1"/>
  <c r="U44" i="1"/>
  <c r="U66" i="1"/>
  <c r="N120" i="1"/>
  <c r="S25" i="1"/>
  <c r="U42" i="1"/>
  <c r="Q49" i="1"/>
  <c r="AT70" i="1"/>
  <c r="U57" i="1"/>
  <c r="AT23" i="1"/>
  <c r="U35" i="1"/>
  <c r="O29" i="1"/>
  <c r="AT74" i="1"/>
  <c r="Q39" i="1"/>
  <c r="U29" i="1"/>
  <c r="R39" i="1"/>
  <c r="S49" i="1"/>
  <c r="U68" i="1"/>
  <c r="R113" i="1"/>
  <c r="O116" i="1"/>
  <c r="O106" i="1"/>
  <c r="G153" i="3" l="1"/>
  <c r="G147" i="3"/>
  <c r="G148" i="3" s="1"/>
  <c r="O17" i="1"/>
  <c r="AY155" i="1"/>
  <c r="R120" i="1"/>
  <c r="O21" i="1"/>
  <c r="G19" i="1"/>
  <c r="G102" i="1"/>
  <c r="G96" i="1"/>
  <c r="O31" i="1"/>
  <c r="O27" i="1" s="1"/>
  <c r="G27" i="1"/>
  <c r="G39" i="1"/>
  <c r="U113" i="1"/>
  <c r="O75" i="1"/>
  <c r="O51" i="1" s="1"/>
  <c r="V51" i="1" s="1"/>
  <c r="G94" i="1"/>
  <c r="G51" i="1"/>
  <c r="O140" i="1"/>
  <c r="O141" i="1" s="1"/>
  <c r="AT51" i="1"/>
  <c r="AT49" i="1"/>
  <c r="U39" i="1"/>
  <c r="U49" i="1"/>
  <c r="Q120" i="1"/>
  <c r="Q138" i="1" s="1"/>
  <c r="S120" i="1"/>
  <c r="AT94" i="1"/>
  <c r="G152" i="1"/>
  <c r="O152" i="1" s="1"/>
  <c r="O104" i="1"/>
  <c r="V104" i="1" s="1"/>
  <c r="O113" i="1"/>
  <c r="O98" i="1"/>
  <c r="AT41" i="1"/>
  <c r="AT25" i="1"/>
  <c r="AT19" i="1"/>
  <c r="O20" i="1"/>
  <c r="AT27" i="1"/>
  <c r="AT39" i="1"/>
  <c r="O94" i="1"/>
  <c r="O117" i="1"/>
  <c r="O115" i="1"/>
  <c r="V115" i="1" s="1"/>
  <c r="O39" i="1"/>
  <c r="AT96" i="1"/>
  <c r="AT102" i="1"/>
  <c r="O41" i="1"/>
  <c r="V41" i="1" s="1"/>
  <c r="O49" i="1"/>
  <c r="O151" i="1"/>
  <c r="G155" i="3" l="1"/>
  <c r="V27" i="1"/>
  <c r="G120" i="1"/>
  <c r="G143" i="1" s="1"/>
  <c r="G153" i="1"/>
  <c r="AT120" i="1"/>
  <c r="Q140" i="1"/>
  <c r="U120" i="1"/>
  <c r="O96" i="1"/>
  <c r="V96" i="1" s="1"/>
  <c r="O102" i="1"/>
  <c r="O25" i="1"/>
  <c r="O19" i="1"/>
  <c r="V19" i="1" s="1"/>
  <c r="K156" i="3" l="1"/>
  <c r="L156" i="3"/>
  <c r="G145" i="1"/>
  <c r="O145" i="1" s="1"/>
  <c r="G144" i="1"/>
  <c r="G146" i="1"/>
  <c r="O146" i="1" s="1"/>
  <c r="O120" i="1"/>
  <c r="O153" i="1"/>
  <c r="O138" i="1"/>
  <c r="O139" i="1" s="1"/>
  <c r="G147" i="1" l="1"/>
  <c r="O144" i="1"/>
  <c r="O143" i="1"/>
  <c r="O147" i="1" l="1"/>
  <c r="G148" i="1"/>
  <c r="G155" i="1" s="1"/>
  <c r="AY156" i="1" s="1"/>
  <c r="O148" i="1" l="1"/>
</calcChain>
</file>

<file path=xl/sharedStrings.xml><?xml version="1.0" encoding="utf-8"?>
<sst xmlns="http://schemas.openxmlformats.org/spreadsheetml/2006/main" count="1793" uniqueCount="384">
  <si>
    <t>2015.1</t>
  </si>
  <si>
    <t>2018.1</t>
  </si>
  <si>
    <t>www.sagut.com</t>
  </si>
  <si>
    <t>Unit  CD</t>
  </si>
  <si>
    <t>Unit  CT</t>
  </si>
  <si>
    <t>Decimales</t>
  </si>
  <si>
    <t>Durac</t>
  </si>
  <si>
    <t>CT</t>
  </si>
  <si>
    <t>CD</t>
  </si>
  <si>
    <t>CASA</t>
  </si>
  <si>
    <t>DOBLECLIC AQUÍ PARA OCULTAR</t>
  </si>
  <si>
    <t>C1</t>
  </si>
  <si>
    <t>C2</t>
  </si>
  <si>
    <t>C3</t>
  </si>
  <si>
    <t>C4</t>
  </si>
  <si>
    <t>C5</t>
  </si>
  <si>
    <t>C6</t>
  </si>
  <si>
    <t xml:space="preserve"> </t>
  </si>
  <si>
    <t>Precios Base</t>
  </si>
  <si>
    <t xml:space="preserve">Valor Final del Contrato  $ </t>
  </si>
  <si>
    <t xml:space="preserve">Inicio  </t>
  </si>
  <si>
    <t>Fin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</si>
  <si>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</si>
  <si>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</si>
  <si>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</si>
  <si>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</si>
  <si>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</si>
  <si>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</si>
  <si>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</si>
  <si>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</si>
  <si>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</si>
  <si>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</si>
  <si>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</si>
  <si>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</si>
  <si>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</si>
  <si>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</si>
  <si>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</si>
  <si>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</si>
  <si>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</si>
  <si>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</si>
  <si>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</si>
  <si>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</si>
  <si>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</si>
  <si>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</si>
  <si>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</si>
  <si>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</si>
  <si>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</si>
  <si>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</si>
  <si>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</si>
  <si>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</si>
  <si>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</si>
  <si>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</si>
  <si>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</si>
  <si>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</si>
  <si>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</si>
  <si>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</si>
  <si>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</si>
  <si>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</si>
  <si>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</si>
  <si>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</si>
  <si>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</si>
  <si>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</si>
  <si>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</si>
  <si>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</si>
  <si>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</si>
  <si>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</si>
  <si>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</si>
  <si>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</si>
  <si>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</si>
  <si>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MUNICIPIO DE GUACARI</t>
  </si>
  <si>
    <t>PRESUPUESTO</t>
  </si>
  <si>
    <t>ITEMS POR COMPONENTES</t>
  </si>
  <si>
    <t>CANTIDADES DEFINITIVAS DE OBRA</t>
  </si>
  <si>
    <t>DE OBRA</t>
  </si>
  <si>
    <t>Otros</t>
  </si>
  <si>
    <t>Equipo</t>
  </si>
  <si>
    <t>M. de Obra</t>
  </si>
  <si>
    <t>Materiales</t>
  </si>
  <si>
    <t>Unit CD</t>
  </si>
  <si>
    <t>PRESUP.</t>
  </si>
  <si>
    <t>MODIF.</t>
  </si>
  <si>
    <t>CANT. DEFINIT.</t>
  </si>
  <si>
    <t>VR.UNIT.</t>
  </si>
  <si>
    <t>VR. DEFINIT.</t>
  </si>
  <si>
    <t>Obra:</t>
  </si>
  <si>
    <t>OPTIMIZACION DE REDES DE DISTRIBUCCION DEL ACUEDUCTO CORREGIMIENTO DE GUABITAS, MUNICIPIO DE GUACARÍ, DEPARTAMENTO DEL VALLE DEL CAUCA - MANO DE OBRA</t>
  </si>
  <si>
    <t>FECHA:</t>
  </si>
  <si>
    <t>ENCAB</t>
  </si>
  <si>
    <t>ITEM</t>
  </si>
  <si>
    <t>DESCRIPCION</t>
  </si>
  <si>
    <t>UND</t>
  </si>
  <si>
    <t>CANT.</t>
  </si>
  <si>
    <t>VR. UNIT</t>
  </si>
  <si>
    <t>C.D.</t>
  </si>
  <si>
    <t>C.T.</t>
  </si>
  <si>
    <t>DURAC</t>
  </si>
  <si>
    <t>VR. TOTAL</t>
  </si>
  <si>
    <t>VR. C.D.</t>
  </si>
  <si>
    <t>CAP</t>
  </si>
  <si>
    <t>PRELIMINARES</t>
  </si>
  <si>
    <t>.</t>
  </si>
  <si>
    <t>010106</t>
  </si>
  <si>
    <t>1.1</t>
  </si>
  <si>
    <t>LOCALIZACION-REPLANTEO ACUEDUCTO-ALCANTA</t>
  </si>
  <si>
    <t>ML</t>
  </si>
  <si>
    <t>STCAP</t>
  </si>
  <si>
    <t>DEMOLICION LOSAS</t>
  </si>
  <si>
    <t>330127</t>
  </si>
  <si>
    <t>2,1</t>
  </si>
  <si>
    <t>CORTADORA DE PAVIMENTO DE 4 A 7 CM</t>
  </si>
  <si>
    <t>081003</t>
  </si>
  <si>
    <t>2,2</t>
  </si>
  <si>
    <t>DEMOL.PAVIMENTO  CONCRETO E=20CM  +RET</t>
  </si>
  <si>
    <t>M2</t>
  </si>
  <si>
    <t>100608</t>
  </si>
  <si>
    <t>2,3</t>
  </si>
  <si>
    <t>CARGUE, RETIRO Y DISPOSICIÓN DE  ESCOMBROS A MAQUINA</t>
  </si>
  <si>
    <t>M3-Km</t>
  </si>
  <si>
    <t>081001</t>
  </si>
  <si>
    <t>2.4</t>
  </si>
  <si>
    <t>DEMOL.ANDEN E=0.10 +RETIRO</t>
  </si>
  <si>
    <t>MOVIMIENTOS DE TIERRAS</t>
  </si>
  <si>
    <t>080107</t>
  </si>
  <si>
    <t>3.1</t>
  </si>
  <si>
    <t>EXCAVACION MANUAL.TIERRA SECA  H=1.8M(SR)</t>
  </si>
  <si>
    <t>M3</t>
  </si>
  <si>
    <t>080105</t>
  </si>
  <si>
    <t>3.2</t>
  </si>
  <si>
    <t>EXCAVACION MANUAL EN CONGLOMERADO</t>
  </si>
  <si>
    <t>3.2A</t>
  </si>
  <si>
    <t xml:space="preserve">EXCAVACION MECANICA </t>
  </si>
  <si>
    <t>080110</t>
  </si>
  <si>
    <t>3.3</t>
  </si>
  <si>
    <t>RELLENO  MATERIAL SITIO COMPACTADO 90% PM</t>
  </si>
  <si>
    <t>100620</t>
  </si>
  <si>
    <t>3.4</t>
  </si>
  <si>
    <t>RELLENO  ROCAMUERTA  COMPACT-SALTARIN+ACAR</t>
  </si>
  <si>
    <t>080207</t>
  </si>
  <si>
    <t>3.5</t>
  </si>
  <si>
    <t>SUB-BASE COMPAC.MAT.SELECC.10K TIPO INVI</t>
  </si>
  <si>
    <t>100606</t>
  </si>
  <si>
    <t>3.6</t>
  </si>
  <si>
    <t>110906</t>
  </si>
  <si>
    <t>3.7</t>
  </si>
  <si>
    <t>COLCHON  ARENA GRUESA E=5-7CM</t>
  </si>
  <si>
    <t>010108</t>
  </si>
  <si>
    <t>3.8</t>
  </si>
  <si>
    <t>MANEJO DE AGUAS RESIDUALES</t>
  </si>
  <si>
    <t>3.9</t>
  </si>
  <si>
    <t>EXCAVACIÓN MECÁNICA DE PILOTES D=0.40 M</t>
  </si>
  <si>
    <t>MANO DE OBRA - REDES DE DISTRIBUCCION</t>
  </si>
  <si>
    <t>040771</t>
  </si>
  <si>
    <t>4.1</t>
  </si>
  <si>
    <t>EMPATE TUBERIA EXISTENTE  DIAM 2"-4"</t>
  </si>
  <si>
    <t>SM3359</t>
  </si>
  <si>
    <t>4.2</t>
  </si>
  <si>
    <t>EMPATE TUBERIA EXISTENTE DIAM 6"-8"</t>
  </si>
  <si>
    <t>SM3976-14P</t>
  </si>
  <si>
    <t>4.3</t>
  </si>
  <si>
    <t>TUB. PVC  8" PR 200</t>
  </si>
  <si>
    <t>SM3977-15P</t>
  </si>
  <si>
    <t>4.4</t>
  </si>
  <si>
    <t>TUB. PVC  6" PR 200</t>
  </si>
  <si>
    <t>SM3978-16P</t>
  </si>
  <si>
    <t>4.5</t>
  </si>
  <si>
    <t>TUB. PVC  4" PR 200</t>
  </si>
  <si>
    <t>4.6</t>
  </si>
  <si>
    <t>ACCESORIOS HIDRAULICOS</t>
  </si>
  <si>
    <t>5.1</t>
  </si>
  <si>
    <t>UNION REP  PVC 8 RDE 21</t>
  </si>
  <si>
    <t>5.2</t>
  </si>
  <si>
    <t xml:space="preserve">CODO PVC 8 X 11.25 </t>
  </si>
  <si>
    <t>5.3</t>
  </si>
  <si>
    <t xml:space="preserve">CODO PVC 8 X 22.5 </t>
  </si>
  <si>
    <t>SM3874</t>
  </si>
  <si>
    <t>5.4</t>
  </si>
  <si>
    <t xml:space="preserve">CODO PVC 8 X 90 </t>
  </si>
  <si>
    <t>SM3956</t>
  </si>
  <si>
    <t>5.8</t>
  </si>
  <si>
    <t>NIPLE AC SH 40 EN 2"  EB X ER L= 0.20 M</t>
  </si>
  <si>
    <t>160619</t>
  </si>
  <si>
    <t>5.9</t>
  </si>
  <si>
    <t>VALVULA CIERRE METALICO 2"</t>
  </si>
  <si>
    <t>160640</t>
  </si>
  <si>
    <t>5.10</t>
  </si>
  <si>
    <t>VALVULA VENTOSA 2" DOBLE EFECTO"</t>
  </si>
  <si>
    <t>040527</t>
  </si>
  <si>
    <t>5.11</t>
  </si>
  <si>
    <t>VALV COMP  ELASTICA 2 EB PVC</t>
  </si>
  <si>
    <t>SM3451</t>
  </si>
  <si>
    <t>5.12</t>
  </si>
  <si>
    <t>BRIDA HF 2" POR ACOPLE UNIVERSAL</t>
  </si>
  <si>
    <t>165708</t>
  </si>
  <si>
    <t>5.15</t>
  </si>
  <si>
    <t>CODO  PVC UM 3 x 90</t>
  </si>
  <si>
    <t>040560</t>
  </si>
  <si>
    <t>5.16</t>
  </si>
  <si>
    <t>VALV COMP  ELASTICA 3 EB PVC</t>
  </si>
  <si>
    <t>SM3475</t>
  </si>
  <si>
    <t>5.17</t>
  </si>
  <si>
    <t>BRIDA HF 3" POR ACOPLE UNIVERSAL</t>
  </si>
  <si>
    <t>040304</t>
  </si>
  <si>
    <t>5.18</t>
  </si>
  <si>
    <t>HIDRANTE CHICAGO-MILAN 3 E BRIDA</t>
  </si>
  <si>
    <t>SM3961</t>
  </si>
  <si>
    <t>5.19</t>
  </si>
  <si>
    <t xml:space="preserve">TEE PVC 6 X 6 </t>
  </si>
  <si>
    <t>SM1323</t>
  </si>
  <si>
    <t>5.20</t>
  </si>
  <si>
    <t xml:space="preserve">CODO PVC 6 X 11.25 </t>
  </si>
  <si>
    <t>SM1322</t>
  </si>
  <si>
    <t>5.21</t>
  </si>
  <si>
    <t xml:space="preserve">CODO PVC 6 X 22.5 </t>
  </si>
  <si>
    <t>SM1316</t>
  </si>
  <si>
    <t>5.22</t>
  </si>
  <si>
    <t xml:space="preserve">CODO PVC 4 X 45 </t>
  </si>
  <si>
    <t>165408</t>
  </si>
  <si>
    <t>5.23</t>
  </si>
  <si>
    <t>UNION REP  PVC 6 RDE 21</t>
  </si>
  <si>
    <t>040562</t>
  </si>
  <si>
    <t>5.24</t>
  </si>
  <si>
    <t>VALV COMP  ELASTICA 6 EB</t>
  </si>
  <si>
    <t>SM0161</t>
  </si>
  <si>
    <t>5.25</t>
  </si>
  <si>
    <t>BRIDA HF 6" POR ACOPLE UNIVERSAL</t>
  </si>
  <si>
    <t>SM3962</t>
  </si>
  <si>
    <t>5.26</t>
  </si>
  <si>
    <t xml:space="preserve">TEE PVC 6 X 3 </t>
  </si>
  <si>
    <t>SM3958</t>
  </si>
  <si>
    <t>5.27</t>
  </si>
  <si>
    <t>NIPLE PVC SANITARIO  3" X 2.00M</t>
  </si>
  <si>
    <t>SM0114</t>
  </si>
  <si>
    <t>5.28</t>
  </si>
  <si>
    <t>VALVULA VENTOSA HF 2" DOBLE ACCION CAMARA SENCILLA</t>
  </si>
  <si>
    <t>SM3963</t>
  </si>
  <si>
    <t>5.29</t>
  </si>
  <si>
    <t xml:space="preserve">TEE PVC 6 X 2 </t>
  </si>
  <si>
    <t>SM3956-8</t>
  </si>
  <si>
    <t>5.30</t>
  </si>
  <si>
    <t>NV3970</t>
  </si>
  <si>
    <t>5.31</t>
  </si>
  <si>
    <t>VALVULA CORTINA 2 -250PSI RED WHITE</t>
  </si>
  <si>
    <t>SM3966</t>
  </si>
  <si>
    <t>5.33</t>
  </si>
  <si>
    <t xml:space="preserve">REDUCCION  6 X 3 </t>
  </si>
  <si>
    <t>SM1318</t>
  </si>
  <si>
    <t>5.34</t>
  </si>
  <si>
    <t xml:space="preserve">CODO PVC 4 X 11.25 </t>
  </si>
  <si>
    <t>SM1317</t>
  </si>
  <si>
    <t>5.35</t>
  </si>
  <si>
    <t xml:space="preserve">CODO PVC 4 X 22.5 </t>
  </si>
  <si>
    <t>SM1316-9</t>
  </si>
  <si>
    <t>5.36</t>
  </si>
  <si>
    <t>SM1315</t>
  </si>
  <si>
    <t>5.37</t>
  </si>
  <si>
    <t xml:space="preserve">CODO PVC 4 X 90 </t>
  </si>
  <si>
    <t>165407</t>
  </si>
  <si>
    <t>5.38</t>
  </si>
  <si>
    <t>UNION REP  PVC 4 RDE 21</t>
  </si>
  <si>
    <t>040556</t>
  </si>
  <si>
    <t>5.39</t>
  </si>
  <si>
    <t>VALV COMP  ELASTICA 4 EB PVC</t>
  </si>
  <si>
    <t>SM0159</t>
  </si>
  <si>
    <t>5.40</t>
  </si>
  <si>
    <t>BRIDA HF 4" POR ACOPLE UNIVERSAL</t>
  </si>
  <si>
    <t>SM3967</t>
  </si>
  <si>
    <t>5.41</t>
  </si>
  <si>
    <t xml:space="preserve">TEE PVC 4 X 3 </t>
  </si>
  <si>
    <t>SM3968</t>
  </si>
  <si>
    <t>5.42</t>
  </si>
  <si>
    <t>NIPLE PVC SAN.  2" X 2.00 M</t>
  </si>
  <si>
    <t>SM3969</t>
  </si>
  <si>
    <t>5.43</t>
  </si>
  <si>
    <t xml:space="preserve">TEE PVC 4 X 2 </t>
  </si>
  <si>
    <t>SM1286</t>
  </si>
  <si>
    <t>5.44</t>
  </si>
  <si>
    <t xml:space="preserve">TEE PVC 6 X 4 </t>
  </si>
  <si>
    <t>SM1325</t>
  </si>
  <si>
    <t>5.45</t>
  </si>
  <si>
    <t>TAPON HD 4" JH</t>
  </si>
  <si>
    <t>SM3959</t>
  </si>
  <si>
    <t>5.47</t>
  </si>
  <si>
    <t>CAJA TIPO 2A 100X80 CM [LADRILLO]</t>
  </si>
  <si>
    <t>110103</t>
  </si>
  <si>
    <t>5.48</t>
  </si>
  <si>
    <t>CAJA INSPECCION 50x 50 CM [CONCRETO]</t>
  </si>
  <si>
    <t>MANO DE OBRA - DOMICILIARES DE ACUEDUCTO</t>
  </si>
  <si>
    <t>040895</t>
  </si>
  <si>
    <t>6.1</t>
  </si>
  <si>
    <t>DOMICILIARIA EN PF+UAD 4" X 1/2"</t>
  </si>
  <si>
    <t>040894</t>
  </si>
  <si>
    <t>6.2</t>
  </si>
  <si>
    <t>DOMICILIARIA EN PF+UAD 6" X 1/2"</t>
  </si>
  <si>
    <t>SM3870</t>
  </si>
  <si>
    <t>6.3</t>
  </si>
  <si>
    <t>DOMICILIARIA EN PF+UAD 8" X 1/2"</t>
  </si>
  <si>
    <t>160721</t>
  </si>
  <si>
    <t>6.4</t>
  </si>
  <si>
    <t>CAJA MEDIDOR CONCRETO+TAPA MET.-ACUAVALL</t>
  </si>
  <si>
    <t>CONCRETOS</t>
  </si>
  <si>
    <t>COD</t>
  </si>
  <si>
    <t>080305</t>
  </si>
  <si>
    <t>7.1</t>
  </si>
  <si>
    <t>PAV.CONCR.MR=40,E=0.20,INC. JUNTA</t>
  </si>
  <si>
    <t>200132</t>
  </si>
  <si>
    <t>7.2</t>
  </si>
  <si>
    <t>ANDEN CONCRETO 10CM 3000  PSI</t>
  </si>
  <si>
    <t>SM1301</t>
  </si>
  <si>
    <t>7.3</t>
  </si>
  <si>
    <t>ANCLAJE EN CONCRETO 3000 PSI</t>
  </si>
  <si>
    <t>7.4</t>
  </si>
  <si>
    <t>7.5</t>
  </si>
  <si>
    <t>GROUTING DE NIVELACIÓN</t>
  </si>
  <si>
    <t>LT</t>
  </si>
  <si>
    <t>ACERO FY=60.000 PSI CO+FI+AR</t>
  </si>
  <si>
    <t>Kg</t>
  </si>
  <si>
    <t>LINEA DE CONDUCCION</t>
  </si>
  <si>
    <t>SM3971</t>
  </si>
  <si>
    <t>8.1</t>
  </si>
  <si>
    <t>VIADUCTO PASA TUBO CONTINUO SOBRE VIGAS (CERCHA+PERNOS+PLATINA)</t>
  </si>
  <si>
    <t>KG</t>
  </si>
  <si>
    <t>SUBTTL</t>
  </si>
  <si>
    <t>SUMINISTRO - REDES DE DISTRIBUCCION</t>
  </si>
  <si>
    <t>TUB. PVC 8" PR 200</t>
  </si>
  <si>
    <t>1.2</t>
  </si>
  <si>
    <t>TUB. PVC 6"  PR 200</t>
  </si>
  <si>
    <t>1.3</t>
  </si>
  <si>
    <t>TUB. PVC 4" PR 200</t>
  </si>
  <si>
    <t>1.4</t>
  </si>
  <si>
    <t>SUBTOTAL CAP. 4  SUMINISTRO - REDES DE DISTRIBUCCION:</t>
  </si>
  <si>
    <t>DOMICILIARES DE ACUEDUCTO</t>
  </si>
  <si>
    <t>2.1</t>
  </si>
  <si>
    <t>2.2</t>
  </si>
  <si>
    <t>2.3</t>
  </si>
  <si>
    <t>SUBTOTAL CAP. 6  DOMICILIARES DE ACUEDUCTO:</t>
  </si>
  <si>
    <t>VALOR COSTOS DIRECTOS</t>
  </si>
  <si>
    <t>SUBTTLOC</t>
  </si>
  <si>
    <t>VALOR COSTOS DIRECTOS OBRA CIVIL</t>
  </si>
  <si>
    <t>SUBTTLSM</t>
  </si>
  <si>
    <t>VALOR COSTOS DIRECTOS SUMINISTRO</t>
  </si>
  <si>
    <t>COSTINDOC</t>
  </si>
  <si>
    <t>COSTOS INDIRECTOS OBRA CIVIL</t>
  </si>
  <si>
    <t>TTLCDOC</t>
  </si>
  <si>
    <t>ADMOC</t>
  </si>
  <si>
    <t>ADMINISTRACION</t>
  </si>
  <si>
    <t>IMPROC</t>
  </si>
  <si>
    <t>IMPREVISTOS</t>
  </si>
  <si>
    <t>UTLOC</t>
  </si>
  <si>
    <t>UTILIDAD</t>
  </si>
  <si>
    <t>TTLAIUOC</t>
  </si>
  <si>
    <t>TOTAL AIU</t>
  </si>
  <si>
    <t>TTLPPTOOC</t>
  </si>
  <si>
    <t>VALOR TOTAL PRESUPUESTO DE OBRA CIVIL</t>
  </si>
  <si>
    <t>COSTINDSM</t>
  </si>
  <si>
    <t>COSTOS INDIRECTOS SUMINISTRO</t>
  </si>
  <si>
    <t>TTLCDSM</t>
  </si>
  <si>
    <t>ADMSM</t>
  </si>
  <si>
    <t>TTLPPTOSM</t>
  </si>
  <si>
    <t>VALOR TOTAL PRESUPUESTO DE SUMINISTRO</t>
  </si>
  <si>
    <t>VALOR TOTAL OBRA CIVIL + SUMINISTRO</t>
  </si>
  <si>
    <t>MATEO GIRALDO BUITRAGO</t>
  </si>
  <si>
    <t>INGENIERO CIVIL</t>
  </si>
  <si>
    <t>M.P. 17202-282147</t>
  </si>
  <si>
    <t>C.C 1.053.803.821</t>
  </si>
  <si>
    <t>SUBTOTAL CAP 1  PRELIMINARES:</t>
  </si>
  <si>
    <t>SUBTOTAL CAP. 2  DEMOLICION LOSAS:</t>
  </si>
  <si>
    <t>SUBTOTAL CAP. 3  MOVIMIENTOS DE TIERRAS:</t>
  </si>
  <si>
    <t>SUBTOTAL CAP. 4  MANO DE OBRA - REDES DE DISTRIBUCCION:</t>
  </si>
  <si>
    <t>SUBTOTAL CAP. 5  ACCESORIOS HIDRAULICOS:</t>
  </si>
  <si>
    <t>SUBTOTAL CAP. 6  MANO DE OBRA - DOMICILIARES DE ACUEDUCTO:</t>
  </si>
  <si>
    <t>SUBTOTAL CAP. 7  CONCRETOS:</t>
  </si>
  <si>
    <t>SUBTOTAL CAP. 8  LINEA DE CONDUCCION:</t>
  </si>
  <si>
    <t>V. TOTAL</t>
  </si>
  <si>
    <t>C. D</t>
  </si>
  <si>
    <t>C. T</t>
  </si>
  <si>
    <t>TOTAL  C.T</t>
  </si>
  <si>
    <t>TOTAL  C.D</t>
  </si>
  <si>
    <t>FORMULARIO 1
PRESUPUESTO OFICIAL</t>
  </si>
  <si>
    <t>OPTIMIZACIÓN DE REDES DE DISTRIBUCIÓN DE ACUEDUCTO CORREGIMIENTO DE GUABITAS, MUNICIPIO DE GUACARI</t>
  </si>
  <si>
    <t>Objeto:</t>
  </si>
  <si>
    <t>SOLICITUD PUBLICA DE OFERTAS STE-005-2021
FORMULARIO 1
PRESUPUESTO OFICIAL</t>
  </si>
  <si>
    <t>SOLICITUD PUBLICA DE OFERTAS STE-005-2021
FORMULARIO 1
PROPUESTA ECONOMICA</t>
  </si>
  <si>
    <t>SUMINISTRO -DOMICILIARES DE ACUEDUCTO</t>
  </si>
  <si>
    <t>SUMINISTRO - DOMICILIARES DE ACUEDUCTO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</si>
</sst>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&quot;$&quot;* #,##0_);_(&quot;$&quot;* \(#,##0\);_(&quot;$&quot;* &quot;-&quot;_);_(@_)"/>
    <numFmt numFmtId="165" formatCode="_ * #,##0_ ;_ * \-#,##0_ ;_ * &quot;-&quot;??_ ;_ @_ "/>
    <numFmt numFmtId="166" formatCode="_ * #,##0.00_ ;_ * \-#,##0.00_ ;_ * &quot;-&quot;??_ ;_ @_ "/>
    <numFmt numFmtId="167" formatCode="#,##0_ ;\-#,##0\ "/>
    <numFmt numFmtId="168" formatCode="d\-mmm\-yyyy"/>
    <numFmt numFmtId="169" formatCode="_(&quot;$&quot;* #,##0.00_);_(&quot;$&quot;* \(#,##0.00\);_(&quot;$&quot;* &quot;-&quot;??_);_(@_)"/>
    <numFmt numFmtId="170" formatCode="_-&quot;$&quot;\ * #,##0_-;\-&quot;$&quot;\ * #,##0_-;_-&quot;$&quot;\ * &quot;-&quot;??_-;_-@_-"/>
    <numFmt numFmtId="171" formatCode="_ * #,##0.000000_ ;_ * \-#,##0.000000_ ;_ * &quot;-&quot;??_ ;_ @_ "/>
    <numFmt numFmtId="172" formatCode="_(&quot;$&quot;* #,##0_);_(&quot;$&quot;* \(#,##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22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 tint="0.34998626667073579"/>
      <name val="Arial"/>
      <family val="2"/>
    </font>
    <font>
      <sz val="9"/>
      <color theme="0" tint="-0.499984740745262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u/>
      <sz val="9"/>
      <color indexed="12"/>
      <name val="Arial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indexed="12"/>
      <name val="Arial"/>
      <family val="2"/>
    </font>
    <font>
      <u/>
      <sz val="8"/>
      <color rgb="FF000000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Times New Roman"/>
      <family val="1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0"/>
      <color indexed="2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indexed="42"/>
        <bgColor indexed="64"/>
      </patternFill>
    </fill>
    <fill>
      <gradientFill degree="270">
        <stop position="0">
          <color theme="0"/>
        </stop>
        <stop position="1">
          <color theme="7" tint="0.80001220740379042"/>
        </stop>
      </gradientFill>
    </fill>
    <fill>
      <gradientFill degree="270">
        <stop position="0">
          <color theme="0"/>
        </stop>
        <stop position="1">
          <color rgb="FFECF2F8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auto="1"/>
      </patternFill>
    </fill>
    <fill>
      <patternFill patternType="solid">
        <fgColor rgb="FFDEDED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FFFDFB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n">
        <color indexed="64"/>
      </right>
      <top style="thick">
        <color indexed="10"/>
      </top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0"/>
      </right>
      <top/>
      <bottom/>
      <diagonal/>
    </border>
    <border>
      <left style="thick">
        <color indexed="10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66FF"/>
      </left>
      <right style="thick">
        <color rgb="FFC00000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66FF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57">
    <xf numFmtId="0" fontId="0" fillId="0" borderId="0" xfId="0"/>
    <xf numFmtId="49" fontId="2" fillId="2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4" fontId="7" fillId="3" borderId="1" xfId="5" applyNumberFormat="1" applyFont="1" applyFill="1" applyBorder="1" applyAlignment="1" applyProtection="1">
      <alignment horizontal="center" wrapText="1"/>
      <protection hidden="1"/>
    </xf>
    <xf numFmtId="165" fontId="8" fillId="4" borderId="2" xfId="1" applyNumberFormat="1" applyFont="1" applyFill="1" applyBorder="1" applyAlignment="1" applyProtection="1">
      <alignment vertical="center"/>
      <protection hidden="1"/>
    </xf>
    <xf numFmtId="165" fontId="9" fillId="4" borderId="0" xfId="1" applyNumberFormat="1" applyFont="1" applyFill="1" applyBorder="1" applyAlignment="1" applyProtection="1">
      <alignment horizontal="center" vertical="center"/>
      <protection hidden="1"/>
    </xf>
    <xf numFmtId="165" fontId="10" fillId="4" borderId="0" xfId="1" applyNumberFormat="1" applyFont="1" applyFill="1" applyBorder="1" applyAlignment="1" applyProtection="1">
      <alignment horizontal="center" vertical="center"/>
      <protection hidden="1"/>
    </xf>
    <xf numFmtId="165" fontId="9" fillId="4" borderId="1" xfId="1" applyNumberFormat="1" applyFont="1" applyFill="1" applyBorder="1" applyAlignment="1" applyProtection="1">
      <alignment horizontal="center" vertical="center"/>
      <protection hidden="1"/>
    </xf>
    <xf numFmtId="165" fontId="11" fillId="4" borderId="0" xfId="1" applyNumberFormat="1" applyFont="1" applyFill="1" applyBorder="1" applyAlignment="1" applyProtection="1">
      <alignment horizontal="center" vertical="center"/>
      <protection hidden="1"/>
    </xf>
    <xf numFmtId="165" fontId="13" fillId="4" borderId="0" xfId="1" applyNumberFormat="1" applyFont="1" applyFill="1" applyBorder="1" applyAlignment="1" applyProtection="1">
      <alignment horizontal="left"/>
      <protection hidden="1"/>
    </xf>
    <xf numFmtId="165" fontId="13" fillId="4" borderId="6" xfId="1" applyNumberFormat="1" applyFont="1" applyFill="1" applyBorder="1" applyAlignment="1" applyProtection="1">
      <alignment horizontal="left"/>
      <protection hidden="1"/>
    </xf>
    <xf numFmtId="0" fontId="14" fillId="4" borderId="7" xfId="0" applyFont="1" applyFill="1" applyBorder="1" applyProtection="1">
      <protection hidden="1"/>
    </xf>
    <xf numFmtId="0" fontId="14" fillId="4" borderId="8" xfId="0" applyFont="1" applyFill="1" applyBorder="1" applyProtection="1">
      <protection hidden="1"/>
    </xf>
    <xf numFmtId="0" fontId="14" fillId="4" borderId="9" xfId="0" applyFont="1" applyFill="1" applyBorder="1" applyProtection="1">
      <protection hidden="1"/>
    </xf>
    <xf numFmtId="0" fontId="14" fillId="4" borderId="10" xfId="0" applyFont="1" applyFill="1" applyBorder="1" applyProtection="1">
      <protection hidden="1"/>
    </xf>
    <xf numFmtId="0" fontId="14" fillId="4" borderId="11" xfId="0" applyFont="1" applyFill="1" applyBorder="1" applyProtection="1">
      <protection hidden="1"/>
    </xf>
    <xf numFmtId="0" fontId="13" fillId="4" borderId="0" xfId="0" applyFont="1" applyFill="1" applyProtection="1">
      <protection hidden="1"/>
    </xf>
    <xf numFmtId="0" fontId="0" fillId="4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8" fillId="4" borderId="14" xfId="0" applyFont="1" applyFill="1" applyBorder="1" applyAlignment="1" applyProtection="1">
      <alignment horizontal="right" vertical="center"/>
      <protection hidden="1"/>
    </xf>
    <xf numFmtId="165" fontId="8" fillId="4" borderId="15" xfId="1" applyNumberFormat="1" applyFont="1" applyFill="1" applyBorder="1" applyAlignment="1" applyProtection="1">
      <alignment vertical="center"/>
      <protection hidden="1"/>
    </xf>
    <xf numFmtId="0" fontId="0" fillId="4" borderId="16" xfId="0" applyFill="1" applyBorder="1" applyProtection="1">
      <protection hidden="1"/>
    </xf>
    <xf numFmtId="0" fontId="0" fillId="5" borderId="17" xfId="0" applyFill="1" applyBorder="1" applyProtection="1">
      <protection hidden="1"/>
    </xf>
    <xf numFmtId="0" fontId="15" fillId="0" borderId="0" xfId="5" applyFont="1" applyAlignment="1" applyProtection="1">
      <alignment horizontal="center"/>
    </xf>
    <xf numFmtId="0" fontId="0" fillId="0" borderId="0" xfId="0" applyProtection="1">
      <protection hidden="1"/>
    </xf>
    <xf numFmtId="49" fontId="0" fillId="0" borderId="12" xfId="0" applyNumberFormat="1" applyBorder="1" applyAlignment="1" applyProtection="1">
      <alignment horizontal="center" vertical="top"/>
      <protection hidden="1"/>
    </xf>
    <xf numFmtId="49" fontId="13" fillId="0" borderId="18" xfId="0" applyNumberFormat="1" applyFont="1" applyBorder="1" applyAlignment="1" applyProtection="1">
      <alignment horizontal="center" vertical="top"/>
      <protection locked="0"/>
    </xf>
    <xf numFmtId="0" fontId="17" fillId="0" borderId="19" xfId="0" applyFont="1" applyBorder="1" applyAlignment="1" applyProtection="1">
      <alignment vertical="top" wrapText="1"/>
      <protection hidden="1"/>
    </xf>
    <xf numFmtId="0" fontId="0" fillId="0" borderId="19" xfId="0" applyBorder="1" applyAlignment="1" applyProtection="1">
      <alignment horizontal="center" vertical="top"/>
      <protection hidden="1"/>
    </xf>
    <xf numFmtId="0" fontId="0" fillId="0" borderId="19" xfId="0" applyBorder="1" applyAlignment="1" applyProtection="1">
      <alignment horizontal="right" vertical="top"/>
      <protection locked="0"/>
    </xf>
    <xf numFmtId="165" fontId="0" fillId="0" borderId="19" xfId="1" applyNumberFormat="1" applyFont="1" applyBorder="1" applyAlignment="1" applyProtection="1">
      <alignment horizontal="right" vertical="top"/>
      <protection hidden="1"/>
    </xf>
    <xf numFmtId="165" fontId="0" fillId="0" borderId="20" xfId="1" applyNumberFormat="1" applyFont="1" applyBorder="1" applyAlignment="1" applyProtection="1">
      <alignment horizontal="right" vertical="top"/>
      <protection hidden="1"/>
    </xf>
    <xf numFmtId="165" fontId="0" fillId="0" borderId="21" xfId="1" applyNumberFormat="1" applyFont="1" applyBorder="1" applyAlignment="1" applyProtection="1">
      <alignment horizontal="right" vertical="top"/>
    </xf>
    <xf numFmtId="165" fontId="0" fillId="0" borderId="19" xfId="1" applyNumberFormat="1" applyFont="1" applyBorder="1" applyAlignment="1" applyProtection="1">
      <alignment horizontal="right" vertical="top"/>
    </xf>
    <xf numFmtId="165" fontId="0" fillId="0" borderId="22" xfId="1" applyNumberFormat="1" applyFont="1" applyBorder="1" applyAlignment="1" applyProtection="1">
      <alignment horizontal="right" vertical="top"/>
      <protection hidden="1"/>
    </xf>
    <xf numFmtId="165" fontId="0" fillId="0" borderId="23" xfId="1" applyNumberFormat="1" applyFont="1" applyBorder="1" applyAlignment="1" applyProtection="1">
      <alignment horizontal="right" vertical="top"/>
      <protection hidden="1"/>
    </xf>
    <xf numFmtId="166" fontId="0" fillId="0" borderId="23" xfId="1" applyNumberFormat="1" applyFont="1" applyBorder="1" applyAlignment="1" applyProtection="1">
      <alignment horizontal="right" vertical="top"/>
      <protection hidden="1"/>
    </xf>
    <xf numFmtId="165" fontId="0" fillId="0" borderId="0" xfId="1" applyNumberFormat="1" applyFont="1" applyBorder="1" applyAlignment="1" applyProtection="1">
      <alignment horizontal="right" vertical="top"/>
      <protection hidden="1"/>
    </xf>
    <xf numFmtId="3" fontId="0" fillId="0" borderId="24" xfId="1" applyNumberFormat="1" applyFont="1" applyBorder="1" applyAlignment="1" applyProtection="1">
      <alignment horizontal="right" vertical="top"/>
      <protection hidden="1"/>
    </xf>
    <xf numFmtId="3" fontId="0" fillId="0" borderId="19" xfId="1" applyNumberFormat="1" applyFont="1" applyBorder="1" applyAlignment="1" applyProtection="1">
      <alignment horizontal="right" vertical="top"/>
      <protection hidden="1"/>
    </xf>
    <xf numFmtId="3" fontId="0" fillId="0" borderId="22" xfId="1" applyNumberFormat="1" applyFont="1" applyBorder="1" applyAlignment="1" applyProtection="1">
      <alignment horizontal="right" vertical="top"/>
      <protection hidden="1"/>
    </xf>
    <xf numFmtId="3" fontId="8" fillId="0" borderId="23" xfId="1" applyNumberFormat="1" applyFont="1" applyBorder="1" applyAlignment="1" applyProtection="1">
      <alignment horizontal="right" vertical="top"/>
      <protection hidden="1"/>
    </xf>
    <xf numFmtId="43" fontId="5" fillId="0" borderId="0" xfId="1" applyFont="1" applyFill="1" applyBorder="1" applyAlignment="1" applyProtection="1">
      <alignment vertical="top"/>
      <protection hidden="1"/>
    </xf>
    <xf numFmtId="0" fontId="14" fillId="2" borderId="7" xfId="0" applyFont="1" applyFill="1" applyBorder="1" applyProtection="1">
      <protection hidden="1"/>
    </xf>
    <xf numFmtId="0" fontId="14" fillId="2" borderId="8" xfId="0" applyFont="1" applyFill="1" applyBorder="1" applyProtection="1">
      <protection hidden="1"/>
    </xf>
    <xf numFmtId="0" fontId="14" fillId="2" borderId="9" xfId="0" applyFont="1" applyFill="1" applyBorder="1" applyProtection="1">
      <protection hidden="1"/>
    </xf>
    <xf numFmtId="0" fontId="14" fillId="2" borderId="10" xfId="0" applyFont="1" applyFill="1" applyBorder="1" applyProtection="1">
      <protection hidden="1"/>
    </xf>
    <xf numFmtId="0" fontId="14" fillId="2" borderId="11" xfId="0" applyFont="1" applyFill="1" applyBorder="1" applyProtection="1">
      <protection hidden="1"/>
    </xf>
    <xf numFmtId="2" fontId="0" fillId="0" borderId="25" xfId="0" applyNumberFormat="1" applyBorder="1"/>
    <xf numFmtId="0" fontId="18" fillId="0" borderId="19" xfId="6" applyFont="1" applyBorder="1" applyAlignment="1">
      <alignment vertical="top"/>
    </xf>
    <xf numFmtId="2" fontId="0" fillId="7" borderId="26" xfId="0" applyNumberFormat="1" applyFill="1" applyBorder="1"/>
    <xf numFmtId="165" fontId="0" fillId="0" borderId="19" xfId="0" applyNumberFormat="1" applyBorder="1"/>
    <xf numFmtId="165" fontId="0" fillId="7" borderId="20" xfId="1" applyNumberFormat="1" applyFont="1" applyFill="1" applyBorder="1" applyAlignment="1" applyProtection="1">
      <alignment horizontal="right" vertical="top"/>
      <protection hidden="1"/>
    </xf>
    <xf numFmtId="0" fontId="0" fillId="0" borderId="27" xfId="0" applyBorder="1"/>
    <xf numFmtId="0" fontId="0" fillId="5" borderId="28" xfId="0" applyFill="1" applyBorder="1"/>
    <xf numFmtId="0" fontId="19" fillId="3" borderId="0" xfId="0" quotePrefix="1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4" fontId="21" fillId="3" borderId="1" xfId="5" applyNumberFormat="1" applyFont="1" applyFill="1" applyBorder="1" applyAlignment="1" applyProtection="1">
      <alignment vertical="top" wrapText="1"/>
      <protection hidden="1"/>
    </xf>
    <xf numFmtId="165" fontId="22" fillId="4" borderId="1" xfId="0" applyNumberFormat="1" applyFont="1" applyFill="1" applyBorder="1" applyAlignment="1" applyProtection="1">
      <alignment horizontal="right" vertical="center"/>
      <protection hidden="1"/>
    </xf>
    <xf numFmtId="166" fontId="23" fillId="4" borderId="0" xfId="0" applyNumberFormat="1" applyFont="1" applyFill="1" applyAlignment="1" applyProtection="1">
      <alignment horizontal="right" vertical="center"/>
      <protection hidden="1"/>
    </xf>
    <xf numFmtId="167" fontId="24" fillId="4" borderId="1" xfId="0" applyNumberFormat="1" applyFont="1" applyFill="1" applyBorder="1" applyAlignment="1" applyProtection="1">
      <alignment horizontal="center" vertical="center"/>
      <protection hidden="1"/>
    </xf>
    <xf numFmtId="166" fontId="3" fillId="4" borderId="0" xfId="0" applyNumberFormat="1" applyFont="1" applyFill="1" applyAlignment="1" applyProtection="1">
      <alignment horizontal="right" vertical="center"/>
      <protection hidden="1"/>
    </xf>
    <xf numFmtId="166" fontId="3" fillId="4" borderId="6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ill="1" applyProtection="1">
      <protection hidden="1"/>
    </xf>
    <xf numFmtId="0" fontId="25" fillId="4" borderId="0" xfId="0" applyFont="1" applyFill="1" applyAlignment="1" applyProtection="1">
      <alignment vertical="center"/>
      <protection hidden="1"/>
    </xf>
    <xf numFmtId="0" fontId="0" fillId="5" borderId="28" xfId="0" applyFill="1" applyBorder="1" applyProtection="1">
      <protection hidden="1"/>
    </xf>
    <xf numFmtId="0" fontId="15" fillId="0" borderId="0" xfId="5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4" fontId="21" fillId="3" borderId="32" xfId="5" applyNumberFormat="1" applyFont="1" applyFill="1" applyBorder="1" applyAlignment="1" applyProtection="1">
      <alignment vertical="top" wrapText="1"/>
      <protection hidden="1"/>
    </xf>
    <xf numFmtId="164" fontId="7" fillId="3" borderId="0" xfId="3" applyFont="1" applyFill="1" applyAlignment="1" applyProtection="1">
      <alignment horizontal="center" wrapText="1"/>
      <protection hidden="1"/>
    </xf>
    <xf numFmtId="165" fontId="22" fillId="4" borderId="0" xfId="0" applyNumberFormat="1" applyFont="1" applyFill="1" applyAlignment="1" applyProtection="1">
      <alignment horizontal="right" vertical="center"/>
      <protection hidden="1"/>
    </xf>
    <xf numFmtId="167" fontId="24" fillId="4" borderId="0" xfId="0" applyNumberFormat="1" applyFont="1" applyFill="1" applyAlignment="1" applyProtection="1">
      <alignment horizontal="center" vertical="center"/>
      <protection hidden="1"/>
    </xf>
    <xf numFmtId="165" fontId="12" fillId="4" borderId="0" xfId="1" applyNumberFormat="1" applyFont="1" applyFill="1" applyBorder="1" applyAlignment="1" applyProtection="1">
      <alignment horizontal="center" vertical="center"/>
      <protection hidden="1"/>
    </xf>
    <xf numFmtId="166" fontId="3" fillId="0" borderId="0" xfId="0" applyNumberFormat="1" applyFont="1" applyAlignment="1" applyProtection="1">
      <alignment horizontal="right" vertical="center"/>
      <protection hidden="1"/>
    </xf>
    <xf numFmtId="166" fontId="3" fillId="0" borderId="6" xfId="0" applyNumberFormat="1" applyFont="1" applyBorder="1" applyAlignment="1" applyProtection="1">
      <alignment horizontal="right" vertical="center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49" fontId="0" fillId="0" borderId="0" xfId="0" applyNumberFormat="1" applyAlignment="1">
      <alignment vertical="top"/>
    </xf>
    <xf numFmtId="0" fontId="26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top"/>
      <protection hidden="1"/>
    </xf>
    <xf numFmtId="0" fontId="27" fillId="0" borderId="6" xfId="0" applyFont="1" applyBorder="1" applyAlignment="1" applyProtection="1">
      <alignment horizontal="center" vertical="top"/>
      <protection hidden="1"/>
    </xf>
    <xf numFmtId="0" fontId="0" fillId="0" borderId="0" xfId="0" applyProtection="1">
      <protection locked="0"/>
    </xf>
    <xf numFmtId="0" fontId="0" fillId="5" borderId="28" xfId="0" applyFill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28" fillId="7" borderId="48" xfId="0" applyFont="1" applyFill="1" applyBorder="1" applyAlignment="1">
      <alignment horizontal="center" vertical="center"/>
    </xf>
    <xf numFmtId="0" fontId="28" fillId="7" borderId="49" xfId="0" applyFont="1" applyFill="1" applyBorder="1" applyAlignment="1">
      <alignment horizontal="center" vertical="center"/>
    </xf>
    <xf numFmtId="0" fontId="28" fillId="7" borderId="50" xfId="0" applyFont="1" applyFill="1" applyBorder="1" applyAlignment="1">
      <alignment horizontal="center" vertical="center"/>
    </xf>
    <xf numFmtId="0" fontId="29" fillId="7" borderId="48" xfId="0" applyFont="1" applyFill="1" applyBorder="1" applyAlignment="1">
      <alignment horizontal="center" vertical="center"/>
    </xf>
    <xf numFmtId="0" fontId="29" fillId="7" borderId="49" xfId="0" applyFont="1" applyFill="1" applyBorder="1" applyAlignment="1">
      <alignment horizontal="center" vertical="center"/>
    </xf>
    <xf numFmtId="0" fontId="29" fillId="7" borderId="50" xfId="0" applyFont="1" applyFill="1" applyBorder="1" applyAlignment="1">
      <alignment horizontal="center" vertical="center"/>
    </xf>
    <xf numFmtId="164" fontId="8" fillId="0" borderId="12" xfId="3" applyFont="1" applyBorder="1" applyAlignment="1" applyProtection="1">
      <alignment horizontal="right" vertical="top"/>
      <protection locked="0"/>
    </xf>
    <xf numFmtId="15" fontId="8" fillId="0" borderId="55" xfId="0" applyNumberFormat="1" applyFont="1" applyBorder="1" applyAlignment="1" applyProtection="1">
      <alignment horizontal="center" vertical="top" wrapText="1"/>
      <protection locked="0"/>
    </xf>
    <xf numFmtId="15" fontId="13" fillId="0" borderId="0" xfId="0" applyNumberFormat="1" applyFont="1" applyAlignment="1" applyProtection="1">
      <alignment horizontal="center" vertical="top" wrapText="1"/>
      <protection hidden="1"/>
    </xf>
    <xf numFmtId="15" fontId="13" fillId="0" borderId="53" xfId="0" applyNumberFormat="1" applyFont="1" applyBorder="1" applyAlignment="1" applyProtection="1">
      <alignment horizontal="center" vertical="top" wrapText="1"/>
      <protection hidden="1"/>
    </xf>
    <xf numFmtId="43" fontId="3" fillId="0" borderId="0" xfId="1" applyFont="1" applyFill="1" applyBorder="1" applyAlignment="1" applyProtection="1">
      <alignment horizontal="center" vertical="top"/>
      <protection hidden="1"/>
    </xf>
    <xf numFmtId="43" fontId="3" fillId="0" borderId="6" xfId="1" applyFont="1" applyFill="1" applyBorder="1" applyAlignment="1" applyProtection="1">
      <alignment horizontal="center" vertical="top"/>
      <protection hidden="1"/>
    </xf>
    <xf numFmtId="168" fontId="17" fillId="0" borderId="0" xfId="1" applyNumberFormat="1" applyFont="1" applyBorder="1" applyAlignment="1" applyProtection="1">
      <alignment horizontal="center" vertical="top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168" fontId="1" fillId="0" borderId="0" xfId="1" applyNumberFormat="1" applyFill="1" applyBorder="1" applyAlignment="1" applyProtection="1">
      <alignment horizontal="center" vertical="top"/>
      <protection hidden="1"/>
    </xf>
    <xf numFmtId="168" fontId="1" fillId="0" borderId="6" xfId="1" applyNumberForma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164" fontId="0" fillId="0" borderId="0" xfId="3" applyFont="1" applyAlignment="1" applyProtection="1">
      <alignment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43" fontId="0" fillId="0" borderId="0" xfId="1" applyFont="1" applyBorder="1" applyAlignment="1" applyProtection="1">
      <alignment vertical="top"/>
      <protection hidden="1"/>
    </xf>
    <xf numFmtId="43" fontId="0" fillId="0" borderId="0" xfId="1" applyFont="1" applyFill="1" applyBorder="1" applyAlignment="1" applyProtection="1">
      <alignment vertical="top"/>
      <protection hidden="1"/>
    </xf>
    <xf numFmtId="43" fontId="0" fillId="0" borderId="6" xfId="1" applyFont="1" applyFill="1" applyBorder="1" applyAlignment="1" applyProtection="1">
      <alignment vertical="top"/>
      <protection hidden="1"/>
    </xf>
    <xf numFmtId="49" fontId="0" fillId="2" borderId="0" xfId="0" applyNumberFormat="1" applyFill="1" applyAlignment="1">
      <alignment vertical="top"/>
    </xf>
    <xf numFmtId="0" fontId="8" fillId="10" borderId="15" xfId="0" applyFont="1" applyFill="1" applyBorder="1" applyAlignment="1" applyProtection="1">
      <alignment horizontal="center" vertical="center"/>
      <protection hidden="1"/>
    </xf>
    <xf numFmtId="4" fontId="8" fillId="10" borderId="15" xfId="0" applyNumberFormat="1" applyFont="1" applyFill="1" applyBorder="1" applyAlignment="1" applyProtection="1">
      <alignment horizontal="center" vertical="center"/>
      <protection hidden="1"/>
    </xf>
    <xf numFmtId="164" fontId="8" fillId="10" borderId="15" xfId="3" applyFont="1" applyFill="1" applyBorder="1" applyAlignment="1" applyProtection="1">
      <alignment horizontal="center" vertical="center"/>
      <protection hidden="1"/>
    </xf>
    <xf numFmtId="165" fontId="8" fillId="10" borderId="15" xfId="1" applyNumberFormat="1" applyFont="1" applyFill="1" applyBorder="1" applyAlignment="1" applyProtection="1">
      <alignment horizontal="center" vertical="center" wrapText="1"/>
      <protection hidden="1"/>
    </xf>
    <xf numFmtId="165" fontId="22" fillId="0" borderId="15" xfId="1" applyNumberFormat="1" applyFont="1" applyBorder="1" applyAlignment="1" applyProtection="1">
      <alignment horizontal="center" vertical="center"/>
      <protection hidden="1"/>
    </xf>
    <xf numFmtId="43" fontId="8" fillId="11" borderId="15" xfId="1" applyFont="1" applyFill="1" applyBorder="1" applyAlignment="1" applyProtection="1">
      <alignment horizontal="center" vertical="center" wrapText="1"/>
      <protection hidden="1"/>
    </xf>
    <xf numFmtId="43" fontId="28" fillId="12" borderId="15" xfId="1" applyFont="1" applyFill="1" applyBorder="1" applyAlignment="1" applyProtection="1">
      <alignment horizontal="center" vertical="center" wrapText="1"/>
      <protection hidden="1"/>
    </xf>
    <xf numFmtId="43" fontId="8" fillId="12" borderId="15" xfId="1" applyFont="1" applyFill="1" applyBorder="1" applyAlignment="1" applyProtection="1">
      <alignment horizontal="center" vertical="center" wrapText="1"/>
      <protection hidden="1"/>
    </xf>
    <xf numFmtId="0" fontId="29" fillId="13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 applyProtection="1">
      <alignment horizontal="right" vertical="top"/>
      <protection hidden="1"/>
    </xf>
    <xf numFmtId="164" fontId="0" fillId="0" borderId="0" xfId="3" applyFont="1" applyAlignment="1">
      <alignment vertical="top"/>
    </xf>
    <xf numFmtId="43" fontId="0" fillId="0" borderId="0" xfId="1" applyFont="1" applyAlignment="1">
      <alignment vertical="top"/>
    </xf>
    <xf numFmtId="49" fontId="0" fillId="14" borderId="41" xfId="0" applyNumberFormat="1" applyFill="1" applyBorder="1" applyAlignment="1">
      <alignment horizontal="center" vertical="top"/>
    </xf>
    <xf numFmtId="0" fontId="31" fillId="5" borderId="38" xfId="0" applyFont="1" applyFill="1" applyBorder="1" applyAlignment="1" applyProtection="1">
      <alignment horizontal="center" vertical="top" wrapText="1"/>
      <protection locked="0" hidden="1"/>
    </xf>
    <xf numFmtId="0" fontId="31" fillId="5" borderId="39" xfId="0" applyFont="1" applyFill="1" applyBorder="1" applyAlignment="1" applyProtection="1">
      <alignment vertical="top"/>
      <protection locked="0"/>
    </xf>
    <xf numFmtId="0" fontId="8" fillId="5" borderId="39" xfId="0" applyFont="1" applyFill="1" applyBorder="1" applyAlignment="1" applyProtection="1">
      <alignment vertical="top" wrapText="1"/>
      <protection hidden="1"/>
    </xf>
    <xf numFmtId="4" fontId="8" fillId="5" borderId="39" xfId="0" applyNumberFormat="1" applyFont="1" applyFill="1" applyBorder="1" applyAlignment="1" applyProtection="1">
      <alignment vertical="top" wrapText="1"/>
      <protection hidden="1"/>
    </xf>
    <xf numFmtId="164" fontId="8" fillId="5" borderId="39" xfId="3" applyFont="1" applyFill="1" applyBorder="1" applyAlignment="1" applyProtection="1">
      <alignment vertical="top" wrapText="1"/>
      <protection hidden="1"/>
    </xf>
    <xf numFmtId="164" fontId="31" fillId="5" borderId="40" xfId="3" applyFont="1" applyFill="1" applyBorder="1" applyAlignment="1" applyProtection="1">
      <alignment horizontal="right" vertical="top" wrapText="1"/>
      <protection hidden="1"/>
    </xf>
    <xf numFmtId="3" fontId="31" fillId="0" borderId="44" xfId="0" applyNumberFormat="1" applyFont="1" applyBorder="1" applyAlignment="1" applyProtection="1">
      <alignment horizontal="right" vertical="top" wrapText="1"/>
      <protection hidden="1"/>
    </xf>
    <xf numFmtId="43" fontId="5" fillId="15" borderId="59" xfId="1" applyFont="1" applyFill="1" applyBorder="1" applyAlignment="1" applyProtection="1">
      <alignment vertical="top"/>
      <protection hidden="1"/>
    </xf>
    <xf numFmtId="43" fontId="5" fillId="15" borderId="60" xfId="1" applyFont="1" applyFill="1" applyBorder="1" applyAlignment="1" applyProtection="1">
      <alignment vertical="top"/>
      <protection hidden="1"/>
    </xf>
    <xf numFmtId="43" fontId="5" fillId="15" borderId="61" xfId="1" applyFont="1" applyFill="1" applyBorder="1" applyAlignment="1" applyProtection="1">
      <alignment vertical="top"/>
      <protection hidden="1"/>
    </xf>
    <xf numFmtId="43" fontId="32" fillId="15" borderId="62" xfId="1" applyFont="1" applyFill="1" applyBorder="1" applyAlignment="1" applyProtection="1">
      <alignment vertical="top"/>
      <protection hidden="1"/>
    </xf>
    <xf numFmtId="0" fontId="0" fillId="5" borderId="38" xfId="0" applyFill="1" applyBorder="1" applyProtection="1">
      <protection locked="0"/>
    </xf>
    <xf numFmtId="0" fontId="0" fillId="5" borderId="39" xfId="0" applyFill="1" applyBorder="1" applyProtection="1">
      <protection locked="0"/>
    </xf>
    <xf numFmtId="4" fontId="31" fillId="5" borderId="40" xfId="0" applyNumberFormat="1" applyFont="1" applyFill="1" applyBorder="1" applyAlignment="1" applyProtection="1">
      <alignment horizontal="right" vertical="top" wrapText="1"/>
      <protection hidden="1"/>
    </xf>
    <xf numFmtId="4" fontId="0" fillId="0" borderId="19" xfId="0" applyNumberFormat="1" applyBorder="1" applyAlignment="1" applyProtection="1">
      <alignment horizontal="right" vertical="top"/>
      <protection locked="0"/>
    </xf>
    <xf numFmtId="164" fontId="0" fillId="0" borderId="19" xfId="3" applyFont="1" applyBorder="1" applyAlignment="1" applyProtection="1">
      <alignment horizontal="right" vertical="top"/>
      <protection hidden="1"/>
    </xf>
    <xf numFmtId="170" fontId="0" fillId="0" borderId="20" xfId="2" applyNumberFormat="1" applyFont="1" applyBorder="1" applyAlignment="1" applyProtection="1">
      <alignment horizontal="right" vertical="top"/>
      <protection hidden="1"/>
    </xf>
    <xf numFmtId="49" fontId="0" fillId="14" borderId="25" xfId="0" applyNumberFormat="1" applyFill="1" applyBorder="1" applyAlignment="1">
      <alignment horizontal="center" vertical="top"/>
    </xf>
    <xf numFmtId="0" fontId="13" fillId="0" borderId="18" xfId="0" applyFont="1" applyBorder="1" applyAlignment="1" applyProtection="1">
      <alignment horizontal="center" vertical="top"/>
      <protection locked="0" hidden="1"/>
    </xf>
    <xf numFmtId="4" fontId="0" fillId="0" borderId="19" xfId="0" applyNumberFormat="1" applyBorder="1" applyAlignment="1" applyProtection="1">
      <alignment horizontal="right" vertical="top"/>
      <protection locked="0" hidden="1"/>
    </xf>
    <xf numFmtId="165" fontId="0" fillId="0" borderId="21" xfId="1" applyNumberFormat="1" applyFont="1" applyFill="1" applyBorder="1" applyAlignment="1" applyProtection="1">
      <alignment horizontal="right" vertical="top"/>
      <protection hidden="1"/>
    </xf>
    <xf numFmtId="165" fontId="0" fillId="0" borderId="19" xfId="1" applyNumberFormat="1" applyFont="1" applyFill="1" applyBorder="1" applyAlignment="1" applyProtection="1">
      <alignment horizontal="right" vertical="top"/>
      <protection hidden="1"/>
    </xf>
    <xf numFmtId="165" fontId="0" fillId="0" borderId="63" xfId="1" applyNumberFormat="1" applyFont="1" applyBorder="1" applyAlignment="1" applyProtection="1">
      <alignment horizontal="right" vertical="top"/>
      <protection hidden="1"/>
    </xf>
    <xf numFmtId="49" fontId="0" fillId="14" borderId="64" xfId="0" applyNumberFormat="1" applyFill="1" applyBorder="1" applyAlignment="1">
      <alignment horizontal="center" vertical="top"/>
    </xf>
    <xf numFmtId="0" fontId="13" fillId="7" borderId="65" xfId="0" applyFont="1" applyFill="1" applyBorder="1" applyAlignment="1" applyProtection="1">
      <alignment horizontal="center" vertical="top"/>
      <protection locked="0" hidden="1"/>
    </xf>
    <xf numFmtId="0" fontId="17" fillId="7" borderId="66" xfId="0" applyFont="1" applyFill="1" applyBorder="1" applyAlignment="1" applyProtection="1">
      <alignment vertical="top" wrapText="1"/>
      <protection hidden="1"/>
    </xf>
    <xf numFmtId="0" fontId="0" fillId="7" borderId="66" xfId="0" applyFill="1" applyBorder="1" applyAlignment="1" applyProtection="1">
      <alignment horizontal="center" vertical="top"/>
      <protection hidden="1"/>
    </xf>
    <xf numFmtId="4" fontId="0" fillId="7" borderId="66" xfId="0" applyNumberFormat="1" applyFill="1" applyBorder="1" applyAlignment="1" applyProtection="1">
      <alignment horizontal="right" vertical="top"/>
      <protection locked="0" hidden="1"/>
    </xf>
    <xf numFmtId="164" fontId="31" fillId="7" borderId="66" xfId="3" applyFont="1" applyFill="1" applyBorder="1" applyAlignment="1" applyProtection="1">
      <alignment horizontal="right" vertical="top"/>
      <protection hidden="1"/>
    </xf>
    <xf numFmtId="166" fontId="31" fillId="7" borderId="67" xfId="1" applyNumberFormat="1" applyFont="1" applyFill="1" applyBorder="1" applyAlignment="1" applyProtection="1">
      <alignment horizontal="right" vertical="top"/>
      <protection hidden="1"/>
    </xf>
    <xf numFmtId="165" fontId="31" fillId="0" borderId="15" xfId="1" applyNumberFormat="1" applyFont="1" applyBorder="1" applyAlignment="1" applyProtection="1">
      <alignment horizontal="right" vertical="top"/>
      <protection hidden="1"/>
    </xf>
    <xf numFmtId="3" fontId="0" fillId="15" borderId="68" xfId="1" applyNumberFormat="1" applyFont="1" applyFill="1" applyBorder="1" applyAlignment="1" applyProtection="1">
      <alignment horizontal="right" vertical="top"/>
      <protection hidden="1"/>
    </xf>
    <xf numFmtId="3" fontId="0" fillId="15" borderId="69" xfId="1" applyNumberFormat="1" applyFont="1" applyFill="1" applyBorder="1" applyAlignment="1" applyProtection="1">
      <alignment horizontal="right" vertical="top"/>
      <protection hidden="1"/>
    </xf>
    <xf numFmtId="3" fontId="0" fillId="15" borderId="70" xfId="1" applyNumberFormat="1" applyFont="1" applyFill="1" applyBorder="1" applyAlignment="1" applyProtection="1">
      <alignment horizontal="right" vertical="top"/>
      <protection hidden="1"/>
    </xf>
    <xf numFmtId="3" fontId="8" fillId="15" borderId="71" xfId="1" applyNumberFormat="1" applyFont="1" applyFill="1" applyBorder="1" applyAlignment="1" applyProtection="1">
      <alignment horizontal="right" vertical="top"/>
      <protection hidden="1"/>
    </xf>
    <xf numFmtId="4" fontId="0" fillId="0" borderId="0" xfId="0" applyNumberFormat="1" applyAlignment="1">
      <alignment horizontal="right" vertical="top"/>
    </xf>
    <xf numFmtId="165" fontId="0" fillId="0" borderId="21" xfId="1" applyNumberFormat="1" applyFont="1" applyBorder="1" applyAlignment="1" applyProtection="1">
      <alignment horizontal="right" vertical="top"/>
      <protection hidden="1"/>
    </xf>
    <xf numFmtId="0" fontId="0" fillId="0" borderId="0" xfId="0" applyBorder="1"/>
    <xf numFmtId="49" fontId="0" fillId="0" borderId="0" xfId="0" applyNumberFormat="1" applyBorder="1" applyAlignment="1" applyProtection="1">
      <alignment horizontal="center" vertical="top"/>
      <protection hidden="1"/>
    </xf>
    <xf numFmtId="166" fontId="0" fillId="0" borderId="72" xfId="1" applyNumberFormat="1" applyFont="1" applyBorder="1" applyAlignment="1" applyProtection="1">
      <alignment horizontal="right" vertical="top"/>
      <protection hidden="1"/>
    </xf>
    <xf numFmtId="164" fontId="31" fillId="7" borderId="67" xfId="3" applyFont="1" applyFill="1" applyBorder="1" applyAlignment="1" applyProtection="1">
      <alignment horizontal="right" vertical="top"/>
      <protection hidden="1"/>
    </xf>
    <xf numFmtId="49" fontId="0" fillId="0" borderId="12" xfId="0" quotePrefix="1" applyNumberFormat="1" applyBorder="1" applyAlignment="1" applyProtection="1">
      <alignment horizontal="center" vertical="top"/>
      <protection hidden="1"/>
    </xf>
    <xf numFmtId="49" fontId="0" fillId="0" borderId="0" xfId="0" quotePrefix="1" applyNumberFormat="1" applyBorder="1" applyAlignment="1" applyProtection="1">
      <alignment horizontal="center" vertical="top"/>
      <protection hidden="1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4" fontId="0" fillId="0" borderId="19" xfId="0" applyNumberFormat="1" applyBorder="1" applyAlignment="1" applyProtection="1">
      <alignment horizontal="right" vertical="center"/>
      <protection locked="0"/>
    </xf>
    <xf numFmtId="164" fontId="0" fillId="0" borderId="19" xfId="3" applyFont="1" applyBorder="1" applyAlignment="1" applyProtection="1">
      <alignment horizontal="right" vertical="center"/>
      <protection hidden="1"/>
    </xf>
    <xf numFmtId="170" fontId="0" fillId="0" borderId="20" xfId="2" applyNumberFormat="1" applyFont="1" applyBorder="1" applyAlignment="1" applyProtection="1">
      <alignment horizontal="right" vertical="center"/>
      <protection hidden="1"/>
    </xf>
    <xf numFmtId="49" fontId="0" fillId="14" borderId="0" xfId="0" applyNumberFormat="1" applyFill="1" applyBorder="1" applyAlignment="1">
      <alignment horizontal="center" vertical="top"/>
    </xf>
    <xf numFmtId="3" fontId="31" fillId="0" borderId="0" xfId="0" applyNumberFormat="1" applyFont="1" applyBorder="1" applyAlignment="1" applyProtection="1">
      <alignment horizontal="right" vertical="top" wrapText="1"/>
      <protection hidden="1"/>
    </xf>
    <xf numFmtId="43" fontId="5" fillId="15" borderId="73" xfId="1" applyFont="1" applyFill="1" applyBorder="1" applyAlignment="1" applyProtection="1">
      <alignment vertical="top"/>
      <protection hidden="1"/>
    </xf>
    <xf numFmtId="43" fontId="5" fillId="15" borderId="74" xfId="1" applyFont="1" applyFill="1" applyBorder="1" applyAlignment="1" applyProtection="1">
      <alignment vertical="top"/>
      <protection hidden="1"/>
    </xf>
    <xf numFmtId="43" fontId="5" fillId="15" borderId="75" xfId="1" applyFont="1" applyFill="1" applyBorder="1" applyAlignment="1" applyProtection="1">
      <alignment vertical="top"/>
      <protection hidden="1"/>
    </xf>
    <xf numFmtId="43" fontId="32" fillId="15" borderId="76" xfId="1" applyFont="1" applyFill="1" applyBorder="1" applyAlignment="1" applyProtection="1">
      <alignment vertical="top"/>
      <protection hidden="1"/>
    </xf>
    <xf numFmtId="0" fontId="0" fillId="5" borderId="27" xfId="0" applyFill="1" applyBorder="1" applyProtection="1">
      <protection locked="0"/>
    </xf>
    <xf numFmtId="0" fontId="0" fillId="5" borderId="0" xfId="0" applyFill="1" applyBorder="1" applyProtection="1">
      <protection locked="0"/>
    </xf>
    <xf numFmtId="4" fontId="31" fillId="5" borderId="77" xfId="0" applyNumberFormat="1" applyFont="1" applyFill="1" applyBorder="1" applyAlignment="1" applyProtection="1">
      <alignment horizontal="right" vertical="top" wrapText="1"/>
      <protection hidden="1"/>
    </xf>
    <xf numFmtId="49" fontId="0" fillId="14" borderId="78" xfId="0" applyNumberFormat="1" applyFill="1" applyBorder="1" applyAlignment="1">
      <alignment horizontal="center" vertical="top"/>
    </xf>
    <xf numFmtId="0" fontId="13" fillId="0" borderId="79" xfId="0" applyFont="1" applyBorder="1" applyAlignment="1" applyProtection="1">
      <alignment horizontal="center" vertical="top"/>
      <protection locked="0" hidden="1"/>
    </xf>
    <xf numFmtId="0" fontId="17" fillId="0" borderId="60" xfId="0" applyFont="1" applyBorder="1" applyAlignment="1" applyProtection="1">
      <alignment vertical="top" wrapText="1"/>
      <protection hidden="1"/>
    </xf>
    <xf numFmtId="0" fontId="0" fillId="0" borderId="60" xfId="0" applyBorder="1" applyAlignment="1" applyProtection="1">
      <alignment horizontal="center" vertical="top"/>
      <protection hidden="1"/>
    </xf>
    <xf numFmtId="4" fontId="0" fillId="0" borderId="60" xfId="0" applyNumberFormat="1" applyBorder="1" applyAlignment="1" applyProtection="1">
      <alignment horizontal="right" vertical="top"/>
      <protection locked="0" hidden="1"/>
    </xf>
    <xf numFmtId="164" fontId="0" fillId="0" borderId="60" xfId="3" applyFont="1" applyBorder="1" applyAlignment="1" applyProtection="1">
      <alignment horizontal="right" vertical="top"/>
      <protection hidden="1"/>
    </xf>
    <xf numFmtId="165" fontId="0" fillId="0" borderId="80" xfId="1" applyNumberFormat="1" applyFont="1" applyBorder="1" applyAlignment="1" applyProtection="1">
      <alignment horizontal="right" vertical="top"/>
      <protection hidden="1"/>
    </xf>
    <xf numFmtId="165" fontId="0" fillId="0" borderId="81" xfId="1" applyNumberFormat="1" applyFont="1" applyBorder="1" applyAlignment="1" applyProtection="1">
      <alignment horizontal="right" vertical="top"/>
      <protection hidden="1"/>
    </xf>
    <xf numFmtId="165" fontId="0" fillId="0" borderId="60" xfId="1" applyNumberFormat="1" applyFont="1" applyBorder="1" applyAlignment="1" applyProtection="1">
      <alignment horizontal="right" vertical="top"/>
      <protection hidden="1"/>
    </xf>
    <xf numFmtId="165" fontId="0" fillId="0" borderId="61" xfId="1" applyNumberFormat="1" applyFont="1" applyBorder="1" applyAlignment="1" applyProtection="1">
      <alignment horizontal="right" vertical="top"/>
      <protection hidden="1"/>
    </xf>
    <xf numFmtId="165" fontId="0" fillId="0" borderId="62" xfId="1" applyNumberFormat="1" applyFont="1" applyBorder="1" applyAlignment="1" applyProtection="1">
      <alignment horizontal="right" vertical="top"/>
      <protection hidden="1"/>
    </xf>
    <xf numFmtId="165" fontId="0" fillId="0" borderId="82" xfId="1" applyNumberFormat="1" applyFont="1" applyBorder="1" applyAlignment="1" applyProtection="1">
      <alignment horizontal="right" vertical="top"/>
      <protection hidden="1"/>
    </xf>
    <xf numFmtId="49" fontId="0" fillId="14" borderId="83" xfId="0" applyNumberFormat="1" applyFill="1" applyBorder="1" applyAlignment="1">
      <alignment horizontal="center" vertical="top"/>
    </xf>
    <xf numFmtId="165" fontId="0" fillId="0" borderId="1" xfId="1" applyNumberFormat="1" applyFont="1" applyBorder="1" applyAlignment="1" applyProtection="1">
      <alignment horizontal="right" vertical="top"/>
      <protection hidden="1"/>
    </xf>
    <xf numFmtId="3" fontId="0" fillId="0" borderId="84" xfId="1" applyNumberFormat="1" applyFont="1" applyBorder="1" applyAlignment="1" applyProtection="1">
      <alignment horizontal="right" vertical="top"/>
      <protection hidden="1"/>
    </xf>
    <xf numFmtId="3" fontId="0" fillId="0" borderId="85" xfId="1" applyNumberFormat="1" applyFont="1" applyBorder="1" applyAlignment="1" applyProtection="1">
      <alignment horizontal="right" vertical="top"/>
      <protection hidden="1"/>
    </xf>
    <xf numFmtId="3" fontId="0" fillId="0" borderId="86" xfId="1" applyNumberFormat="1" applyFont="1" applyBorder="1" applyAlignment="1" applyProtection="1">
      <alignment horizontal="right" vertical="top"/>
      <protection hidden="1"/>
    </xf>
    <xf numFmtId="3" fontId="8" fillId="0" borderId="87" xfId="1" applyNumberFormat="1" applyFont="1" applyBorder="1" applyAlignment="1" applyProtection="1">
      <alignment horizontal="right" vertical="top"/>
      <protection hidden="1"/>
    </xf>
    <xf numFmtId="2" fontId="0" fillId="0" borderId="27" xfId="0" applyNumberFormat="1" applyBorder="1"/>
    <xf numFmtId="0" fontId="18" fillId="0" borderId="0" xfId="6" applyFont="1" applyBorder="1" applyAlignment="1">
      <alignment vertical="top"/>
    </xf>
    <xf numFmtId="2" fontId="0" fillId="7" borderId="0" xfId="0" applyNumberFormat="1" applyFill="1" applyBorder="1"/>
    <xf numFmtId="165" fontId="0" fillId="0" borderId="0" xfId="0" applyNumberFormat="1" applyBorder="1"/>
    <xf numFmtId="165" fontId="0" fillId="7" borderId="77" xfId="1" applyNumberFormat="1" applyFont="1" applyFill="1" applyBorder="1" applyAlignment="1" applyProtection="1">
      <alignment horizontal="right" vertical="top"/>
      <protection hidden="1"/>
    </xf>
    <xf numFmtId="49" fontId="13" fillId="14" borderId="0" xfId="0" applyNumberFormat="1" applyFont="1" applyFill="1" applyAlignment="1">
      <alignment horizontal="center" vertical="top"/>
    </xf>
    <xf numFmtId="0" fontId="33" fillId="0" borderId="0" xfId="0" applyFont="1" applyAlignment="1" applyProtection="1">
      <alignment horizontal="left"/>
      <protection locked="0"/>
    </xf>
    <xf numFmtId="165" fontId="0" fillId="0" borderId="0" xfId="1" applyNumberFormat="1" applyFont="1" applyAlignment="1">
      <alignment vertical="top"/>
    </xf>
    <xf numFmtId="165" fontId="0" fillId="0" borderId="0" xfId="0" applyNumberFormat="1"/>
    <xf numFmtId="49" fontId="3" fillId="2" borderId="0" xfId="0" applyNumberFormat="1" applyFont="1" applyFill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16" borderId="12" xfId="0" applyFill="1" applyBorder="1" applyAlignment="1" applyProtection="1">
      <alignment vertical="center"/>
      <protection hidden="1"/>
    </xf>
    <xf numFmtId="0" fontId="0" fillId="16" borderId="13" xfId="0" applyFill="1" applyBorder="1" applyAlignment="1" applyProtection="1">
      <alignment vertical="center"/>
      <protection hidden="1"/>
    </xf>
    <xf numFmtId="4" fontId="0" fillId="16" borderId="13" xfId="0" applyNumberFormat="1" applyFill="1" applyBorder="1" applyAlignment="1" applyProtection="1">
      <alignment vertical="center"/>
      <protection hidden="1"/>
    </xf>
    <xf numFmtId="164" fontId="31" fillId="16" borderId="13" xfId="3" applyFont="1" applyFill="1" applyBorder="1" applyAlignment="1" applyProtection="1">
      <alignment horizontal="right" vertical="center"/>
      <protection hidden="1"/>
    </xf>
    <xf numFmtId="164" fontId="31" fillId="16" borderId="14" xfId="3" applyFont="1" applyFill="1" applyBorder="1" applyAlignment="1" applyProtection="1">
      <alignment horizontal="right" vertical="center"/>
      <protection hidden="1"/>
    </xf>
    <xf numFmtId="165" fontId="31" fillId="17" borderId="24" xfId="1" applyNumberFormat="1" applyFont="1" applyFill="1" applyBorder="1" applyAlignment="1" applyProtection="1">
      <alignment horizontal="right" vertical="center"/>
      <protection hidden="1"/>
    </xf>
    <xf numFmtId="165" fontId="31" fillId="17" borderId="19" xfId="1" applyNumberFormat="1" applyFont="1" applyFill="1" applyBorder="1" applyAlignment="1" applyProtection="1">
      <alignment horizontal="right" vertical="center"/>
      <protection hidden="1"/>
    </xf>
    <xf numFmtId="165" fontId="28" fillId="17" borderId="19" xfId="1" applyNumberFormat="1" applyFont="1" applyFill="1" applyBorder="1" applyAlignment="1" applyProtection="1">
      <alignment horizontal="right" vertical="center"/>
      <protection hidden="1"/>
    </xf>
    <xf numFmtId="165" fontId="28" fillId="17" borderId="23" xfId="1" applyNumberFormat="1" applyFont="1" applyFill="1" applyBorder="1" applyAlignment="1" applyProtection="1">
      <alignment horizontal="right" vertical="center"/>
      <protection hidden="1"/>
    </xf>
    <xf numFmtId="3" fontId="31" fillId="17" borderId="14" xfId="1" applyNumberFormat="1" applyFont="1" applyFill="1" applyBorder="1" applyAlignment="1" applyProtection="1">
      <alignment horizontal="right" vertical="center"/>
      <protection hidden="1"/>
    </xf>
    <xf numFmtId="43" fontId="0" fillId="0" borderId="0" xfId="1" applyFont="1" applyAlignment="1" applyProtection="1">
      <alignment vertical="center"/>
      <protection hidden="1"/>
    </xf>
    <xf numFmtId="3" fontId="31" fillId="8" borderId="48" xfId="1" applyNumberFormat="1" applyFont="1" applyFill="1" applyBorder="1" applyAlignment="1" applyProtection="1">
      <alignment horizontal="right" vertical="center"/>
      <protection hidden="1"/>
    </xf>
    <xf numFmtId="3" fontId="31" fillId="8" borderId="4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9" borderId="12" xfId="0" applyFill="1" applyBorder="1" applyAlignment="1" applyProtection="1">
      <alignment vertical="center"/>
      <protection hidden="1"/>
    </xf>
    <xf numFmtId="0" fontId="0" fillId="9" borderId="13" xfId="0" applyFill="1" applyBorder="1" applyAlignment="1" applyProtection="1">
      <alignment vertical="center"/>
      <protection hidden="1"/>
    </xf>
    <xf numFmtId="165" fontId="31" fillId="9" borderId="13" xfId="0" applyNumberFormat="1" applyFont="1" applyFill="1" applyBorder="1" applyAlignment="1" applyProtection="1">
      <alignment horizontal="right" vertical="center"/>
      <protection hidden="1"/>
    </xf>
    <xf numFmtId="165" fontId="31" fillId="9" borderId="1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0" fillId="0" borderId="0" xfId="0" applyNumberFormat="1" applyFill="1" applyBorder="1" applyAlignment="1" applyProtection="1">
      <alignment vertical="center"/>
      <protection hidden="1"/>
    </xf>
    <xf numFmtId="164" fontId="31" fillId="0" borderId="0" xfId="3" applyFont="1" applyFill="1" applyBorder="1" applyAlignment="1" applyProtection="1">
      <alignment horizontal="right" vertical="center"/>
      <protection hidden="1"/>
    </xf>
    <xf numFmtId="165" fontId="31" fillId="0" borderId="0" xfId="1" applyNumberFormat="1" applyFont="1" applyFill="1" applyBorder="1" applyAlignment="1" applyProtection="1">
      <alignment horizontal="right" vertical="center"/>
      <protection hidden="1"/>
    </xf>
    <xf numFmtId="165" fontId="31" fillId="17" borderId="0" xfId="1" applyNumberFormat="1" applyFont="1" applyFill="1" applyBorder="1" applyAlignment="1" applyProtection="1">
      <alignment horizontal="right" vertical="center"/>
      <protection hidden="1"/>
    </xf>
    <xf numFmtId="165" fontId="28" fillId="17" borderId="0" xfId="1" applyNumberFormat="1" applyFont="1" applyFill="1" applyBorder="1" applyAlignment="1" applyProtection="1">
      <alignment horizontal="right" vertical="center"/>
      <protection hidden="1"/>
    </xf>
    <xf numFmtId="3" fontId="31" fillId="17" borderId="0" xfId="1" applyNumberFormat="1" applyFont="1" applyFill="1" applyBorder="1" applyAlignment="1" applyProtection="1">
      <alignment horizontal="right" vertical="center"/>
      <protection hidden="1"/>
    </xf>
    <xf numFmtId="3" fontId="31" fillId="8" borderId="0" xfId="1" applyNumberFormat="1" applyFont="1" applyFill="1" applyBorder="1" applyAlignment="1" applyProtection="1">
      <alignment horizontal="right" vertical="center"/>
      <protection hidden="1"/>
    </xf>
    <xf numFmtId="0" fontId="0" fillId="9" borderId="0" xfId="0" applyFill="1" applyBorder="1" applyAlignment="1" applyProtection="1">
      <alignment vertical="center"/>
      <protection hidden="1"/>
    </xf>
    <xf numFmtId="165" fontId="31" fillId="9" borderId="0" xfId="0" applyNumberFormat="1" applyFont="1" applyFill="1" applyBorder="1" applyAlignment="1" applyProtection="1">
      <alignment horizontal="right" vertical="center"/>
      <protection hidden="1"/>
    </xf>
    <xf numFmtId="165" fontId="31" fillId="9" borderId="0" xfId="1" applyNumberFormat="1" applyFont="1" applyFill="1" applyBorder="1" applyAlignment="1" applyProtection="1">
      <alignment horizontal="right" vertical="center"/>
      <protection hidden="1"/>
    </xf>
    <xf numFmtId="170" fontId="31" fillId="5" borderId="40" xfId="2" applyNumberFormat="1" applyFont="1" applyFill="1" applyBorder="1" applyAlignment="1" applyProtection="1">
      <alignment horizontal="right" vertical="top" wrapText="1"/>
      <protection hidden="1"/>
    </xf>
    <xf numFmtId="170" fontId="31" fillId="7" borderId="67" xfId="2" applyNumberFormat="1" applyFont="1" applyFill="1" applyBorder="1" applyAlignment="1" applyProtection="1">
      <alignment horizontal="right" vertical="top"/>
      <protection hidden="1"/>
    </xf>
    <xf numFmtId="170" fontId="0" fillId="0" borderId="0" xfId="2" applyNumberFormat="1" applyFont="1" applyAlignment="1">
      <alignment vertical="top"/>
    </xf>
    <xf numFmtId="170" fontId="31" fillId="16" borderId="14" xfId="2" applyNumberFormat="1" applyFont="1" applyFill="1" applyBorder="1" applyAlignment="1" applyProtection="1">
      <alignment horizontal="right"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4" fontId="0" fillId="5" borderId="13" xfId="0" applyNumberFormat="1" applyFill="1" applyBorder="1" applyAlignment="1" applyProtection="1">
      <alignment vertical="center"/>
      <protection hidden="1"/>
    </xf>
    <xf numFmtId="164" fontId="31" fillId="5" borderId="13" xfId="3" applyFont="1" applyFill="1" applyBorder="1" applyAlignment="1" applyProtection="1">
      <alignment horizontal="right" vertical="center"/>
      <protection hidden="1"/>
    </xf>
    <xf numFmtId="164" fontId="31" fillId="5" borderId="14" xfId="3" applyFont="1" applyFill="1" applyBorder="1" applyAlignment="1" applyProtection="1">
      <alignment horizontal="right" vertical="center"/>
      <protection hidden="1"/>
    </xf>
    <xf numFmtId="3" fontId="31" fillId="17" borderId="48" xfId="1" applyNumberFormat="1" applyFont="1" applyFill="1" applyBorder="1" applyAlignment="1" applyProtection="1">
      <alignment horizontal="right" vertical="center"/>
      <protection hidden="1"/>
    </xf>
    <xf numFmtId="3" fontId="31" fillId="17" borderId="49" xfId="1" applyNumberFormat="1" applyFont="1" applyFill="1" applyBorder="1" applyAlignment="1" applyProtection="1">
      <alignment horizontal="righ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4" fillId="0" borderId="6" xfId="0" applyFont="1" applyBorder="1" applyAlignment="1" applyProtection="1">
      <alignment vertical="center"/>
      <protection hidden="1"/>
    </xf>
    <xf numFmtId="0" fontId="14" fillId="2" borderId="7" xfId="0" applyFont="1" applyFill="1" applyBorder="1" applyAlignment="1" applyProtection="1">
      <alignment vertical="center"/>
      <protection hidden="1"/>
    </xf>
    <xf numFmtId="0" fontId="14" fillId="2" borderId="8" xfId="0" applyFont="1" applyFill="1" applyBorder="1" applyAlignment="1" applyProtection="1">
      <alignment vertical="center"/>
      <protection hidden="1"/>
    </xf>
    <xf numFmtId="0" fontId="14" fillId="2" borderId="9" xfId="0" applyFont="1" applyFill="1" applyBorder="1" applyAlignment="1" applyProtection="1">
      <alignment vertical="center"/>
      <protection hidden="1"/>
    </xf>
    <xf numFmtId="0" fontId="14" fillId="2" borderId="10" xfId="0" applyFont="1" applyFill="1" applyBorder="1" applyAlignment="1" applyProtection="1">
      <alignment vertical="center"/>
      <protection hidden="1"/>
    </xf>
    <xf numFmtId="0" fontId="14" fillId="2" borderId="11" xfId="0" applyFont="1" applyFill="1" applyBorder="1" applyAlignment="1" applyProtection="1">
      <alignment vertical="center"/>
      <protection hidden="1"/>
    </xf>
    <xf numFmtId="0" fontId="0" fillId="18" borderId="12" xfId="0" applyFill="1" applyBorder="1" applyAlignment="1" applyProtection="1">
      <alignment vertical="center"/>
      <protection hidden="1"/>
    </xf>
    <xf numFmtId="0" fontId="0" fillId="18" borderId="13" xfId="0" applyFill="1" applyBorder="1" applyAlignment="1" applyProtection="1">
      <alignment vertical="center"/>
      <protection hidden="1"/>
    </xf>
    <xf numFmtId="165" fontId="31" fillId="18" borderId="13" xfId="0" applyNumberFormat="1" applyFont="1" applyFill="1" applyBorder="1" applyAlignment="1" applyProtection="1">
      <alignment horizontal="right" vertical="center"/>
      <protection hidden="1"/>
    </xf>
    <xf numFmtId="165" fontId="31" fillId="18" borderId="14" xfId="1" applyNumberFormat="1" applyFont="1" applyFill="1" applyBorder="1" applyAlignment="1" applyProtection="1">
      <alignment horizontal="right" vertical="center"/>
      <protection hidden="1"/>
    </xf>
    <xf numFmtId="0" fontId="0" fillId="5" borderId="28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top"/>
      <protection hidden="1"/>
    </xf>
    <xf numFmtId="164" fontId="0" fillId="0" borderId="0" xfId="3" applyFont="1" applyAlignment="1" applyProtection="1">
      <alignment vertical="top"/>
      <protection hidden="1"/>
    </xf>
    <xf numFmtId="165" fontId="0" fillId="0" borderId="0" xfId="1" applyNumberFormat="1" applyFont="1" applyAlignment="1" applyProtection="1">
      <alignment vertical="top"/>
      <protection hidden="1"/>
    </xf>
    <xf numFmtId="43" fontId="5" fillId="0" borderId="0" xfId="1" applyFont="1" applyAlignment="1" applyProtection="1">
      <alignment vertical="top"/>
      <protection hidden="1"/>
    </xf>
    <xf numFmtId="43" fontId="0" fillId="0" borderId="0" xfId="1" applyFont="1" applyAlignment="1" applyProtection="1">
      <alignment vertical="top"/>
      <protection hidden="1"/>
    </xf>
    <xf numFmtId="43" fontId="34" fillId="0" borderId="0" xfId="1" applyFont="1" applyFill="1" applyBorder="1" applyAlignment="1" applyProtection="1">
      <alignment vertical="top"/>
      <protection hidden="1"/>
    </xf>
    <xf numFmtId="43" fontId="34" fillId="0" borderId="6" xfId="1" applyFont="1" applyFill="1" applyBorder="1" applyAlignment="1" applyProtection="1">
      <alignment vertical="top"/>
      <protection hidden="1"/>
    </xf>
    <xf numFmtId="0" fontId="0" fillId="19" borderId="12" xfId="0" applyFill="1" applyBorder="1" applyAlignment="1" applyProtection="1">
      <alignment vertical="center"/>
      <protection hidden="1"/>
    </xf>
    <xf numFmtId="0" fontId="0" fillId="19" borderId="13" xfId="0" applyFill="1" applyBorder="1" applyAlignment="1" applyProtection="1">
      <alignment vertical="center"/>
      <protection hidden="1"/>
    </xf>
    <xf numFmtId="165" fontId="31" fillId="19" borderId="13" xfId="0" applyNumberFormat="1" applyFont="1" applyFill="1" applyBorder="1" applyAlignment="1" applyProtection="1">
      <alignment horizontal="right" vertical="center"/>
      <protection hidden="1"/>
    </xf>
    <xf numFmtId="165" fontId="31" fillId="19" borderId="14" xfId="1" applyNumberFormat="1" applyFont="1" applyFill="1" applyBorder="1" applyAlignment="1" applyProtection="1">
      <alignment horizontal="right" vertical="center"/>
      <protection hidden="1"/>
    </xf>
    <xf numFmtId="165" fontId="35" fillId="0" borderId="0" xfId="1" applyNumberFormat="1" applyFont="1" applyAlignment="1" applyProtection="1">
      <alignment horizontal="right" vertical="top"/>
      <protection hidden="1"/>
    </xf>
    <xf numFmtId="49" fontId="3" fillId="2" borderId="0" xfId="0" applyNumberFormat="1" applyFont="1" applyFill="1" applyAlignment="1">
      <alignment horizontal="center" vertical="top"/>
    </xf>
    <xf numFmtId="0" fontId="31" fillId="5" borderId="12" xfId="0" applyFont="1" applyFill="1" applyBorder="1" applyAlignment="1" applyProtection="1">
      <alignment vertical="top" wrapText="1"/>
      <protection hidden="1"/>
    </xf>
    <xf numFmtId="0" fontId="0" fillId="5" borderId="13" xfId="0" applyFill="1" applyBorder="1" applyAlignment="1" applyProtection="1">
      <alignment horizontal="center" vertical="top"/>
      <protection hidden="1"/>
    </xf>
    <xf numFmtId="4" fontId="0" fillId="5" borderId="13" xfId="0" applyNumberFormat="1" applyFill="1" applyBorder="1" applyAlignment="1" applyProtection="1">
      <alignment horizontal="right" vertical="top"/>
      <protection hidden="1"/>
    </xf>
    <xf numFmtId="164" fontId="0" fillId="5" borderId="13" xfId="3" applyFont="1" applyFill="1" applyBorder="1" applyAlignment="1" applyProtection="1">
      <alignment vertical="top"/>
      <protection hidden="1"/>
    </xf>
    <xf numFmtId="165" fontId="0" fillId="5" borderId="14" xfId="1" applyNumberFormat="1" applyFont="1" applyFill="1" applyBorder="1" applyAlignment="1" applyProtection="1">
      <alignment vertical="top"/>
      <protection hidden="1"/>
    </xf>
    <xf numFmtId="43" fontId="0" fillId="0" borderId="52" xfId="1" applyFont="1" applyFill="1" applyBorder="1" applyAlignment="1" applyProtection="1">
      <alignment vertical="top"/>
      <protection hidden="1"/>
    </xf>
    <xf numFmtId="43" fontId="0" fillId="0" borderId="53" xfId="1" applyFont="1" applyFill="1" applyBorder="1" applyAlignment="1" applyProtection="1">
      <alignment vertical="top"/>
      <protection hidden="1"/>
    </xf>
    <xf numFmtId="43" fontId="0" fillId="0" borderId="54" xfId="1" applyFont="1" applyFill="1" applyBorder="1" applyAlignment="1" applyProtection="1">
      <alignment vertical="top"/>
      <protection hidden="1"/>
    </xf>
    <xf numFmtId="43" fontId="0" fillId="11" borderId="14" xfId="1" applyFont="1" applyFill="1" applyBorder="1" applyAlignment="1" applyProtection="1">
      <alignment vertical="top"/>
      <protection hidden="1"/>
    </xf>
    <xf numFmtId="165" fontId="0" fillId="20" borderId="14" xfId="1" applyNumberFormat="1" applyFont="1" applyFill="1" applyBorder="1" applyAlignment="1" applyProtection="1">
      <alignment vertical="top"/>
      <protection hidden="1"/>
    </xf>
    <xf numFmtId="49" fontId="3" fillId="2" borderId="0" xfId="0" applyNumberFormat="1" applyFont="1" applyFill="1" applyAlignment="1">
      <alignment horizontal="center"/>
    </xf>
    <xf numFmtId="0" fontId="0" fillId="21" borderId="88" xfId="0" applyFill="1" applyBorder="1" applyProtection="1">
      <protection hidden="1"/>
    </xf>
    <xf numFmtId="0" fontId="0" fillId="21" borderId="81" xfId="0" applyFill="1" applyBorder="1" applyProtection="1">
      <protection hidden="1"/>
    </xf>
    <xf numFmtId="4" fontId="0" fillId="21" borderId="81" xfId="0" applyNumberFormat="1" applyFill="1" applyBorder="1" applyProtection="1">
      <protection hidden="1"/>
    </xf>
    <xf numFmtId="164" fontId="8" fillId="21" borderId="89" xfId="3" applyFont="1" applyFill="1" applyBorder="1" applyAlignment="1" applyProtection="1">
      <alignment horizontal="right"/>
      <protection hidden="1"/>
    </xf>
    <xf numFmtId="164" fontId="8" fillId="21" borderId="62" xfId="3" applyFont="1" applyFill="1" applyBorder="1" applyAlignment="1" applyProtection="1">
      <alignment vertical="top"/>
      <protection hidden="1"/>
    </xf>
    <xf numFmtId="165" fontId="8" fillId="0" borderId="32" xfId="1" applyNumberFormat="1" applyFont="1" applyFill="1" applyBorder="1" applyAlignment="1" applyProtection="1">
      <alignment vertical="top"/>
      <protection hidden="1"/>
    </xf>
    <xf numFmtId="165" fontId="8" fillId="0" borderId="0" xfId="1" applyNumberFormat="1" applyFont="1" applyFill="1" applyBorder="1" applyAlignment="1" applyProtection="1">
      <alignment vertical="top"/>
      <protection hidden="1"/>
    </xf>
    <xf numFmtId="165" fontId="8" fillId="0" borderId="90" xfId="1" applyNumberFormat="1" applyFont="1" applyFill="1" applyBorder="1" applyAlignment="1" applyProtection="1">
      <alignment vertical="top"/>
      <protection hidden="1"/>
    </xf>
    <xf numFmtId="165" fontId="8" fillId="0" borderId="62" xfId="1" applyNumberFormat="1" applyFont="1" applyBorder="1" applyAlignment="1" applyProtection="1">
      <alignment vertical="top"/>
      <protection hidden="1"/>
    </xf>
    <xf numFmtId="165" fontId="8" fillId="0" borderId="0" xfId="1" applyNumberFormat="1" applyFont="1" applyBorder="1" applyAlignment="1" applyProtection="1">
      <alignment vertical="top"/>
      <protection hidden="1"/>
    </xf>
    <xf numFmtId="0" fontId="0" fillId="0" borderId="6" xfId="0" applyBorder="1" applyProtection="1">
      <protection hidden="1"/>
    </xf>
    <xf numFmtId="0" fontId="0" fillId="22" borderId="88" xfId="0" applyFill="1" applyBorder="1" applyProtection="1">
      <protection hidden="1"/>
    </xf>
    <xf numFmtId="0" fontId="0" fillId="22" borderId="81" xfId="0" applyFill="1" applyBorder="1" applyProtection="1">
      <protection hidden="1"/>
    </xf>
    <xf numFmtId="0" fontId="8" fillId="22" borderId="89" xfId="0" applyFont="1" applyFill="1" applyBorder="1" applyAlignment="1" applyProtection="1">
      <alignment horizontal="right"/>
      <protection hidden="1"/>
    </xf>
    <xf numFmtId="165" fontId="8" fillId="22" borderId="62" xfId="1" applyNumberFormat="1" applyFont="1" applyFill="1" applyBorder="1" applyAlignment="1" applyProtection="1">
      <alignment vertical="top"/>
      <protection hidden="1"/>
    </xf>
    <xf numFmtId="0" fontId="0" fillId="21" borderId="91" xfId="0" applyFill="1" applyBorder="1" applyProtection="1">
      <protection hidden="1"/>
    </xf>
    <xf numFmtId="0" fontId="0" fillId="21" borderId="92" xfId="0" applyFill="1" applyBorder="1" applyProtection="1">
      <protection hidden="1"/>
    </xf>
    <xf numFmtId="4" fontId="0" fillId="21" borderId="92" xfId="0" applyNumberFormat="1" applyFill="1" applyBorder="1" applyAlignment="1" applyProtection="1">
      <alignment horizontal="right"/>
      <protection hidden="1"/>
    </xf>
    <xf numFmtId="10" fontId="0" fillId="21" borderId="93" xfId="4" applyNumberFormat="1" applyFont="1" applyFill="1" applyBorder="1" applyAlignment="1" applyProtection="1">
      <alignment horizontal="center"/>
      <protection hidden="1"/>
    </xf>
    <xf numFmtId="164" fontId="0" fillId="21" borderId="76" xfId="3" applyFont="1" applyFill="1" applyBorder="1" applyProtection="1">
      <protection hidden="1"/>
    </xf>
    <xf numFmtId="165" fontId="0" fillId="0" borderId="32" xfId="1" applyNumberFormat="1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165" fontId="0" fillId="0" borderId="90" xfId="1" applyNumberFormat="1" applyFont="1" applyFill="1" applyBorder="1" applyProtection="1">
      <protection hidden="1"/>
    </xf>
    <xf numFmtId="165" fontId="0" fillId="0" borderId="76" xfId="1" applyNumberFormat="1" applyFont="1" applyBorder="1" applyProtection="1">
      <protection hidden="1"/>
    </xf>
    <xf numFmtId="165" fontId="0" fillId="0" borderId="0" xfId="1" applyNumberFormat="1" applyFont="1" applyBorder="1" applyProtection="1">
      <protection hidden="1"/>
    </xf>
    <xf numFmtId="0" fontId="0" fillId="22" borderId="91" xfId="0" applyFill="1" applyBorder="1" applyProtection="1">
      <protection hidden="1"/>
    </xf>
    <xf numFmtId="0" fontId="0" fillId="22" borderId="92" xfId="0" applyFill="1" applyBorder="1" applyProtection="1">
      <protection hidden="1"/>
    </xf>
    <xf numFmtId="0" fontId="0" fillId="22" borderId="92" xfId="0" applyFill="1" applyBorder="1" applyAlignment="1" applyProtection="1">
      <alignment horizontal="right"/>
      <protection hidden="1"/>
    </xf>
    <xf numFmtId="10" fontId="0" fillId="22" borderId="93" xfId="0" applyNumberFormat="1" applyFill="1" applyBorder="1" applyAlignment="1" applyProtection="1">
      <alignment horizontal="center"/>
      <protection hidden="1"/>
    </xf>
    <xf numFmtId="165" fontId="0" fillId="22" borderId="76" xfId="1" applyNumberFormat="1" applyFont="1" applyFill="1" applyBorder="1" applyProtection="1">
      <protection hidden="1"/>
    </xf>
    <xf numFmtId="0" fontId="0" fillId="21" borderId="94" xfId="0" applyFill="1" applyBorder="1" applyProtection="1">
      <protection hidden="1"/>
    </xf>
    <xf numFmtId="0" fontId="0" fillId="21" borderId="21" xfId="0" applyFill="1" applyBorder="1" applyProtection="1">
      <protection hidden="1"/>
    </xf>
    <xf numFmtId="4" fontId="0" fillId="21" borderId="21" xfId="0" applyNumberFormat="1" applyFill="1" applyBorder="1" applyAlignment="1" applyProtection="1">
      <alignment horizontal="right"/>
      <protection hidden="1"/>
    </xf>
    <xf numFmtId="10" fontId="0" fillId="21" borderId="26" xfId="4" applyNumberFormat="1" applyFont="1" applyFill="1" applyBorder="1" applyAlignment="1" applyProtection="1">
      <alignment horizontal="center"/>
      <protection hidden="1"/>
    </xf>
    <xf numFmtId="171" fontId="13" fillId="0" borderId="90" xfId="1" applyNumberFormat="1" applyFont="1" applyFill="1" applyBorder="1" applyProtection="1">
      <protection hidden="1"/>
    </xf>
    <xf numFmtId="165" fontId="0" fillId="0" borderId="23" xfId="1" applyNumberFormat="1" applyFont="1" applyBorder="1" applyProtection="1">
      <protection hidden="1"/>
    </xf>
    <xf numFmtId="165" fontId="0" fillId="0" borderId="6" xfId="1" applyNumberFormat="1" applyFont="1" applyFill="1" applyBorder="1" applyProtection="1">
      <protection hidden="1"/>
    </xf>
    <xf numFmtId="0" fontId="0" fillId="22" borderId="94" xfId="0" applyFill="1" applyBorder="1" applyProtection="1">
      <protection hidden="1"/>
    </xf>
    <xf numFmtId="0" fontId="0" fillId="22" borderId="21" xfId="0" applyFill="1" applyBorder="1" applyProtection="1">
      <protection hidden="1"/>
    </xf>
    <xf numFmtId="0" fontId="0" fillId="22" borderId="21" xfId="0" applyFill="1" applyBorder="1" applyAlignment="1" applyProtection="1">
      <alignment horizontal="right"/>
      <protection hidden="1"/>
    </xf>
    <xf numFmtId="165" fontId="0" fillId="22" borderId="23" xfId="1" applyNumberFormat="1" applyFont="1" applyFill="1" applyBorder="1" applyProtection="1">
      <protection hidden="1"/>
    </xf>
    <xf numFmtId="0" fontId="0" fillId="21" borderId="95" xfId="0" applyFill="1" applyBorder="1" applyProtection="1">
      <protection hidden="1"/>
    </xf>
    <xf numFmtId="0" fontId="0" fillId="21" borderId="96" xfId="0" applyFill="1" applyBorder="1" applyProtection="1">
      <protection hidden="1"/>
    </xf>
    <xf numFmtId="4" fontId="8" fillId="21" borderId="96" xfId="0" applyNumberFormat="1" applyFont="1" applyFill="1" applyBorder="1" applyAlignment="1" applyProtection="1">
      <alignment horizontal="right"/>
      <protection hidden="1"/>
    </xf>
    <xf numFmtId="10" fontId="8" fillId="21" borderId="97" xfId="4" applyNumberFormat="1" applyFont="1" applyFill="1" applyBorder="1" applyAlignment="1" applyProtection="1">
      <alignment horizontal="center"/>
      <protection hidden="1"/>
    </xf>
    <xf numFmtId="164" fontId="8" fillId="21" borderId="23" xfId="3" applyFont="1" applyFill="1" applyBorder="1" applyProtection="1">
      <protection hidden="1"/>
    </xf>
    <xf numFmtId="165" fontId="8" fillId="0" borderId="32" xfId="1" applyNumberFormat="1" applyFont="1" applyFill="1" applyBorder="1" applyProtection="1">
      <protection hidden="1"/>
    </xf>
    <xf numFmtId="165" fontId="8" fillId="0" borderId="0" xfId="1" applyNumberFormat="1" applyFont="1" applyFill="1" applyBorder="1" applyProtection="1">
      <protection hidden="1"/>
    </xf>
    <xf numFmtId="165" fontId="8" fillId="0" borderId="90" xfId="1" applyNumberFormat="1" applyFont="1" applyFill="1" applyBorder="1" applyProtection="1">
      <protection hidden="1"/>
    </xf>
    <xf numFmtId="165" fontId="8" fillId="0" borderId="23" xfId="1" applyNumberFormat="1" applyFont="1" applyBorder="1" applyProtection="1">
      <protection hidden="1"/>
    </xf>
    <xf numFmtId="165" fontId="8" fillId="0" borderId="0" xfId="1" applyNumberFormat="1" applyFont="1" applyBorder="1" applyProtection="1">
      <protection hidden="1"/>
    </xf>
    <xf numFmtId="165" fontId="8" fillId="0" borderId="0" xfId="0" applyNumberFormat="1" applyFont="1" applyProtection="1">
      <protection hidden="1"/>
    </xf>
    <xf numFmtId="165" fontId="8" fillId="0" borderId="6" xfId="0" applyNumberFormat="1" applyFont="1" applyBorder="1" applyProtection="1">
      <protection hidden="1"/>
    </xf>
    <xf numFmtId="0" fontId="0" fillId="22" borderId="95" xfId="0" applyFill="1" applyBorder="1" applyProtection="1">
      <protection hidden="1"/>
    </xf>
    <xf numFmtId="0" fontId="0" fillId="22" borderId="96" xfId="0" applyFill="1" applyBorder="1" applyProtection="1">
      <protection hidden="1"/>
    </xf>
    <xf numFmtId="0" fontId="8" fillId="22" borderId="96" xfId="0" applyFont="1" applyFill="1" applyBorder="1" applyAlignment="1" applyProtection="1">
      <alignment horizontal="right"/>
      <protection hidden="1"/>
    </xf>
    <xf numFmtId="10" fontId="8" fillId="22" borderId="97" xfId="0" applyNumberFormat="1" applyFont="1" applyFill="1" applyBorder="1" applyAlignment="1" applyProtection="1">
      <alignment horizontal="center"/>
      <protection hidden="1"/>
    </xf>
    <xf numFmtId="165" fontId="8" fillId="22" borderId="23" xfId="1" applyNumberFormat="1" applyFont="1" applyFill="1" applyBorder="1" applyProtection="1">
      <protection hidden="1"/>
    </xf>
    <xf numFmtId="0" fontId="6" fillId="5" borderId="12" xfId="5" applyFill="1" applyBorder="1" applyAlignment="1" applyProtection="1">
      <protection hidden="1"/>
    </xf>
    <xf numFmtId="0" fontId="0" fillId="5" borderId="13" xfId="0" applyFill="1" applyBorder="1" applyProtection="1">
      <protection hidden="1"/>
    </xf>
    <xf numFmtId="4" fontId="0" fillId="5" borderId="13" xfId="0" applyNumberFormat="1" applyFill="1" applyBorder="1" applyProtection="1">
      <protection hidden="1"/>
    </xf>
    <xf numFmtId="164" fontId="31" fillId="5" borderId="13" xfId="3" applyFont="1" applyFill="1" applyBorder="1" applyAlignment="1" applyProtection="1">
      <alignment horizontal="right"/>
      <protection hidden="1"/>
    </xf>
    <xf numFmtId="165" fontId="31" fillId="5" borderId="14" xfId="0" applyNumberFormat="1" applyFont="1" applyFill="1" applyBorder="1" applyAlignment="1" applyProtection="1">
      <alignment horizontal="right"/>
      <protection hidden="1"/>
    </xf>
    <xf numFmtId="3" fontId="31" fillId="0" borderId="46" xfId="0" applyNumberFormat="1" applyFont="1" applyBorder="1" applyAlignment="1" applyProtection="1">
      <alignment horizontal="right"/>
      <protection hidden="1"/>
    </xf>
    <xf numFmtId="165" fontId="5" fillId="0" borderId="44" xfId="0" applyNumberFormat="1" applyFont="1" applyBorder="1" applyProtection="1">
      <protection hidden="1"/>
    </xf>
    <xf numFmtId="3" fontId="31" fillId="0" borderId="44" xfId="0" applyNumberFormat="1" applyFont="1" applyBorder="1" applyAlignment="1" applyProtection="1">
      <alignment horizontal="right"/>
      <protection hidden="1"/>
    </xf>
    <xf numFmtId="4" fontId="31" fillId="0" borderId="45" xfId="0" applyNumberFormat="1" applyFont="1" applyBorder="1" applyAlignment="1" applyProtection="1">
      <alignment horizontal="right"/>
      <protection locked="0"/>
    </xf>
    <xf numFmtId="3" fontId="31" fillId="11" borderId="14" xfId="0" applyNumberFormat="1" applyFont="1" applyFill="1" applyBorder="1" applyAlignment="1" applyProtection="1">
      <alignment horizontal="right"/>
      <protection hidden="1"/>
    </xf>
    <xf numFmtId="0" fontId="6" fillId="20" borderId="12" xfId="5" applyFill="1" applyBorder="1" applyAlignment="1" applyProtection="1">
      <protection hidden="1"/>
    </xf>
    <xf numFmtId="0" fontId="0" fillId="20" borderId="13" xfId="0" applyFill="1" applyBorder="1" applyProtection="1">
      <protection hidden="1"/>
    </xf>
    <xf numFmtId="0" fontId="31" fillId="20" borderId="13" xfId="0" applyFont="1" applyFill="1" applyBorder="1" applyAlignment="1" applyProtection="1">
      <alignment horizontal="right"/>
      <protection hidden="1"/>
    </xf>
    <xf numFmtId="165" fontId="31" fillId="20" borderId="14" xfId="0" applyNumberFormat="1" applyFont="1" applyFill="1" applyBorder="1" applyAlignment="1" applyProtection="1">
      <alignment horizontal="right"/>
      <protection hidden="1"/>
    </xf>
    <xf numFmtId="49" fontId="3" fillId="0" borderId="0" xfId="0" applyNumberFormat="1" applyFont="1" applyAlignment="1">
      <alignment horizontal="center"/>
    </xf>
    <xf numFmtId="4" fontId="0" fillId="0" borderId="0" xfId="0" applyNumberFormat="1" applyProtection="1">
      <protection hidden="1"/>
    </xf>
    <xf numFmtId="164" fontId="8" fillId="0" borderId="0" xfId="3" applyFont="1" applyAlignment="1" applyProtection="1">
      <alignment horizontal="right"/>
      <protection hidden="1"/>
    </xf>
    <xf numFmtId="165" fontId="13" fillId="0" borderId="0" xfId="0" applyNumberFormat="1" applyFont="1" applyAlignment="1" applyProtection="1">
      <alignment horizontal="right"/>
      <protection hidden="1"/>
    </xf>
    <xf numFmtId="165" fontId="0" fillId="19" borderId="14" xfId="1" applyNumberFormat="1" applyFont="1" applyFill="1" applyBorder="1" applyAlignment="1" applyProtection="1">
      <alignment vertical="top"/>
      <protection hidden="1"/>
    </xf>
    <xf numFmtId="165" fontId="8" fillId="21" borderId="62" xfId="1" applyNumberFormat="1" applyFont="1" applyFill="1" applyBorder="1" applyAlignment="1" applyProtection="1">
      <alignment vertical="top"/>
      <protection hidden="1"/>
    </xf>
    <xf numFmtId="0" fontId="0" fillId="23" borderId="88" xfId="0" applyFill="1" applyBorder="1" applyProtection="1">
      <protection hidden="1"/>
    </xf>
    <xf numFmtId="0" fontId="0" fillId="23" borderId="81" xfId="0" applyFill="1" applyBorder="1" applyProtection="1">
      <protection hidden="1"/>
    </xf>
    <xf numFmtId="0" fontId="8" fillId="23" borderId="89" xfId="0" applyFont="1" applyFill="1" applyBorder="1" applyAlignment="1" applyProtection="1">
      <alignment horizontal="right"/>
      <protection hidden="1"/>
    </xf>
    <xf numFmtId="165" fontId="8" fillId="23" borderId="62" xfId="1" applyNumberFormat="1" applyFont="1" applyFill="1" applyBorder="1" applyAlignment="1" applyProtection="1">
      <alignment vertical="top"/>
      <protection hidden="1"/>
    </xf>
    <xf numFmtId="9" fontId="0" fillId="21" borderId="93" xfId="4" applyFont="1" applyFill="1" applyBorder="1" applyAlignment="1" applyProtection="1">
      <alignment horizontal="center"/>
      <protection hidden="1"/>
    </xf>
    <xf numFmtId="165" fontId="0" fillId="21" borderId="76" xfId="1" applyNumberFormat="1" applyFont="1" applyFill="1" applyBorder="1" applyProtection="1">
      <protection hidden="1"/>
    </xf>
    <xf numFmtId="0" fontId="0" fillId="23" borderId="91" xfId="0" applyFill="1" applyBorder="1" applyProtection="1">
      <protection hidden="1"/>
    </xf>
    <xf numFmtId="0" fontId="0" fillId="23" borderId="92" xfId="0" applyFill="1" applyBorder="1" applyProtection="1">
      <protection hidden="1"/>
    </xf>
    <xf numFmtId="0" fontId="0" fillId="23" borderId="92" xfId="0" applyFill="1" applyBorder="1" applyAlignment="1" applyProtection="1">
      <alignment horizontal="right"/>
      <protection hidden="1"/>
    </xf>
    <xf numFmtId="10" fontId="0" fillId="23" borderId="93" xfId="0" applyNumberFormat="1" applyFill="1" applyBorder="1" applyAlignment="1" applyProtection="1">
      <alignment horizontal="center"/>
      <protection hidden="1"/>
    </xf>
    <xf numFmtId="165" fontId="0" fillId="23" borderId="76" xfId="1" applyNumberFormat="1" applyFont="1" applyFill="1" applyBorder="1" applyProtection="1">
      <protection hidden="1"/>
    </xf>
    <xf numFmtId="0" fontId="6" fillId="19" borderId="12" xfId="5" applyFill="1" applyBorder="1" applyAlignment="1" applyProtection="1">
      <protection hidden="1"/>
    </xf>
    <xf numFmtId="0" fontId="0" fillId="19" borderId="13" xfId="0" applyFill="1" applyBorder="1" applyProtection="1">
      <protection hidden="1"/>
    </xf>
    <xf numFmtId="0" fontId="31" fillId="19" borderId="13" xfId="0" applyFont="1" applyFill="1" applyBorder="1" applyAlignment="1" applyProtection="1">
      <alignment horizontal="right"/>
      <protection hidden="1"/>
    </xf>
    <xf numFmtId="165" fontId="31" fillId="19" borderId="14" xfId="0" applyNumberFormat="1" applyFont="1" applyFill="1" applyBorder="1" applyAlignment="1" applyProtection="1">
      <alignment horizontal="right"/>
      <protection hidden="1"/>
    </xf>
    <xf numFmtId="49" fontId="0" fillId="0" borderId="0" xfId="0" applyNumberFormat="1"/>
    <xf numFmtId="0" fontId="0" fillId="0" borderId="6" xfId="0" applyBorder="1"/>
    <xf numFmtId="4" fontId="0" fillId="0" borderId="0" xfId="0" applyNumberFormat="1"/>
    <xf numFmtId="164" fontId="0" fillId="0" borderId="0" xfId="3" applyFont="1"/>
    <xf numFmtId="164" fontId="0" fillId="0" borderId="0" xfId="3" applyFont="1" applyProtection="1">
      <protection hidden="1"/>
    </xf>
    <xf numFmtId="165" fontId="0" fillId="0" borderId="0" xfId="0" applyNumberFormat="1" applyProtection="1">
      <protection hidden="1"/>
    </xf>
    <xf numFmtId="164" fontId="0" fillId="0" borderId="0" xfId="3" applyFont="1" applyBorder="1" applyAlignment="1" applyProtection="1">
      <alignment horizontal="right" vertical="top"/>
      <protection hidden="1"/>
    </xf>
    <xf numFmtId="0" fontId="17" fillId="0" borderId="0" xfId="0" applyFont="1" applyAlignment="1" applyProtection="1">
      <alignment vertical="top" wrapText="1"/>
      <protection hidden="1"/>
    </xf>
    <xf numFmtId="0" fontId="0" fillId="0" borderId="44" xfId="0" applyBorder="1" applyProtection="1">
      <protection hidden="1"/>
    </xf>
    <xf numFmtId="49" fontId="0" fillId="0" borderId="98" xfId="0" applyNumberFormat="1" applyBorder="1"/>
    <xf numFmtId="0" fontId="36" fillId="0" borderId="0" xfId="0" applyFont="1" applyProtection="1">
      <protection locked="0"/>
    </xf>
    <xf numFmtId="0" fontId="0" fillId="0" borderId="99" xfId="0" applyBorder="1" applyProtection="1">
      <protection hidden="1"/>
    </xf>
    <xf numFmtId="0" fontId="0" fillId="0" borderId="98" xfId="0" applyBorder="1" applyProtection="1">
      <protection locked="0"/>
    </xf>
    <xf numFmtId="0" fontId="36" fillId="0" borderId="0" xfId="0" applyFont="1" applyProtection="1">
      <protection hidden="1"/>
    </xf>
    <xf numFmtId="0" fontId="36" fillId="0" borderId="0" xfId="0" applyFont="1"/>
    <xf numFmtId="0" fontId="26" fillId="8" borderId="38" xfId="0" applyFont="1" applyFill="1" applyBorder="1" applyAlignment="1" applyProtection="1">
      <alignment horizontal="center" vertical="center"/>
      <protection locked="0"/>
    </xf>
    <xf numFmtId="0" fontId="26" fillId="8" borderId="39" xfId="0" applyFont="1" applyFill="1" applyBorder="1" applyAlignment="1" applyProtection="1">
      <alignment horizontal="center" vertical="center"/>
      <protection locked="0"/>
    </xf>
    <xf numFmtId="0" fontId="26" fillId="8" borderId="40" xfId="0" applyFont="1" applyFill="1" applyBorder="1" applyAlignment="1" applyProtection="1">
      <alignment horizontal="center" vertical="center"/>
      <protection locked="0"/>
    </xf>
    <xf numFmtId="0" fontId="26" fillId="9" borderId="41" xfId="0" applyFont="1" applyFill="1" applyBorder="1" applyAlignment="1" applyProtection="1">
      <alignment horizontal="center" vertical="center"/>
      <protection locked="0"/>
    </xf>
    <xf numFmtId="0" fontId="26" fillId="9" borderId="16" xfId="0" applyFont="1" applyFill="1" applyBorder="1" applyAlignment="1" applyProtection="1">
      <alignment horizontal="center" vertical="center"/>
      <protection locked="0"/>
    </xf>
    <xf numFmtId="0" fontId="26" fillId="9" borderId="42" xfId="0" applyFont="1" applyFill="1" applyBorder="1" applyAlignment="1" applyProtection="1">
      <alignment horizontal="center" vertical="center"/>
      <protection locked="0"/>
    </xf>
    <xf numFmtId="164" fontId="30" fillId="0" borderId="57" xfId="3" applyFont="1" applyBorder="1" applyAlignment="1" applyProtection="1">
      <alignment horizontal="center" vertical="top"/>
      <protection locked="0"/>
    </xf>
    <xf numFmtId="168" fontId="30" fillId="0" borderId="58" xfId="1" applyNumberFormat="1" applyFont="1" applyBorder="1" applyAlignment="1" applyProtection="1">
      <alignment horizontal="center" vertical="top"/>
      <protection locked="0"/>
    </xf>
    <xf numFmtId="172" fontId="0" fillId="0" borderId="16" xfId="2" applyNumberFormat="1" applyFont="1" applyBorder="1" applyProtection="1">
      <protection hidden="1"/>
    </xf>
    <xf numFmtId="172" fontId="0" fillId="0" borderId="0" xfId="2" applyNumberFormat="1" applyFont="1" applyProtection="1">
      <protection hidden="1"/>
    </xf>
    <xf numFmtId="172" fontId="0" fillId="0" borderId="0" xfId="2" applyNumberFormat="1" applyFont="1" applyProtection="1">
      <protection locked="0"/>
    </xf>
    <xf numFmtId="172" fontId="0" fillId="0" borderId="0" xfId="2" applyNumberFormat="1" applyFont="1"/>
    <xf numFmtId="172" fontId="0" fillId="0" borderId="0" xfId="2" applyNumberFormat="1" applyFont="1" applyAlignment="1" applyProtection="1">
      <alignment vertical="center"/>
      <protection locked="0"/>
    </xf>
    <xf numFmtId="165" fontId="31" fillId="17" borderId="26" xfId="1" applyNumberFormat="1" applyFont="1" applyFill="1" applyBorder="1" applyAlignment="1" applyProtection="1">
      <alignment horizontal="right" vertical="center"/>
      <protection hidden="1"/>
    </xf>
    <xf numFmtId="172" fontId="37" fillId="0" borderId="16" xfId="2" applyNumberFormat="1" applyFont="1" applyBorder="1" applyAlignment="1" applyProtection="1">
      <alignment horizontal="left"/>
      <protection hidden="1"/>
    </xf>
    <xf numFmtId="172" fontId="37" fillId="0" borderId="0" xfId="2" applyNumberFormat="1" applyFont="1" applyAlignment="1" applyProtection="1">
      <alignment horizontal="left"/>
      <protection hidden="1"/>
    </xf>
    <xf numFmtId="172" fontId="37" fillId="0" borderId="0" xfId="2" applyNumberFormat="1" applyFont="1" applyAlignment="1" applyProtection="1">
      <alignment horizontal="left"/>
      <protection locked="0"/>
    </xf>
    <xf numFmtId="172" fontId="37" fillId="0" borderId="0" xfId="2" applyNumberFormat="1" applyFont="1" applyAlignment="1">
      <alignment horizontal="left"/>
    </xf>
    <xf numFmtId="172" fontId="37" fillId="0" borderId="0" xfId="2" applyNumberFormat="1" applyFont="1" applyAlignment="1" applyProtection="1">
      <alignment horizontal="left" vertical="center"/>
      <protection locked="0"/>
    </xf>
    <xf numFmtId="172" fontId="0" fillId="0" borderId="0" xfId="0" applyNumberFormat="1"/>
    <xf numFmtId="165" fontId="8" fillId="4" borderId="0" xfId="1" applyNumberFormat="1" applyFont="1" applyFill="1" applyBorder="1" applyAlignment="1" applyProtection="1">
      <alignment vertical="center"/>
      <protection hidden="1"/>
    </xf>
    <xf numFmtId="165" fontId="22" fillId="4" borderId="0" xfId="0" applyNumberFormat="1" applyFont="1" applyFill="1" applyBorder="1" applyAlignment="1" applyProtection="1">
      <alignment horizontal="right" vertical="center"/>
      <protection hidden="1"/>
    </xf>
    <xf numFmtId="4" fontId="26" fillId="0" borderId="0" xfId="0" applyNumberFormat="1" applyFont="1" applyBorder="1" applyAlignment="1" applyProtection="1">
      <alignment horizontal="center" vertical="center" wrapText="1"/>
      <protection locked="0"/>
    </xf>
    <xf numFmtId="15" fontId="8" fillId="0" borderId="0" xfId="0" applyNumberFormat="1" applyFont="1" applyBorder="1" applyAlignment="1" applyProtection="1">
      <alignment horizontal="center" vertical="top" wrapText="1"/>
      <protection locked="0"/>
    </xf>
    <xf numFmtId="168" fontId="30" fillId="0" borderId="0" xfId="1" applyNumberFormat="1" applyFont="1" applyBorder="1" applyAlignment="1" applyProtection="1">
      <alignment horizontal="center" vertical="top"/>
      <protection locked="0"/>
    </xf>
    <xf numFmtId="165" fontId="8" fillId="10" borderId="0" xfId="1" applyNumberFormat="1" applyFont="1" applyFill="1" applyBorder="1" applyAlignment="1" applyProtection="1">
      <alignment horizontal="center" vertical="center" wrapText="1"/>
      <protection hidden="1"/>
    </xf>
    <xf numFmtId="164" fontId="31" fillId="5" borderId="0" xfId="3" applyFont="1" applyFill="1" applyBorder="1" applyAlignment="1" applyProtection="1">
      <alignment horizontal="right" vertical="top" wrapText="1"/>
      <protection hidden="1"/>
    </xf>
    <xf numFmtId="170" fontId="0" fillId="0" borderId="0" xfId="2" applyNumberFormat="1" applyFont="1" applyBorder="1" applyAlignment="1" applyProtection="1">
      <alignment horizontal="right" vertical="top"/>
      <protection hidden="1"/>
    </xf>
    <xf numFmtId="166" fontId="31" fillId="7" borderId="0" xfId="1" applyNumberFormat="1" applyFont="1" applyFill="1" applyBorder="1" applyAlignment="1" applyProtection="1">
      <alignment horizontal="right" vertical="top"/>
      <protection hidden="1"/>
    </xf>
    <xf numFmtId="164" fontId="31" fillId="7" borderId="0" xfId="3" applyFont="1" applyFill="1" applyBorder="1" applyAlignment="1" applyProtection="1">
      <alignment horizontal="right" vertical="top"/>
      <protection hidden="1"/>
    </xf>
    <xf numFmtId="4" fontId="31" fillId="5" borderId="0" xfId="0" applyNumberFormat="1" applyFont="1" applyFill="1" applyBorder="1" applyAlignment="1" applyProtection="1">
      <alignment horizontal="right" vertical="top" wrapText="1"/>
      <protection hidden="1"/>
    </xf>
    <xf numFmtId="170" fontId="0" fillId="0" borderId="0" xfId="2" applyNumberFormat="1" applyFont="1" applyBorder="1" applyAlignment="1" applyProtection="1">
      <alignment horizontal="right" vertical="center"/>
      <protection hidden="1"/>
    </xf>
    <xf numFmtId="164" fontId="31" fillId="16" borderId="0" xfId="3" applyFont="1" applyFill="1" applyBorder="1" applyAlignment="1" applyProtection="1">
      <alignment horizontal="right" vertical="center"/>
      <protection hidden="1"/>
    </xf>
    <xf numFmtId="170" fontId="31" fillId="5" borderId="0" xfId="2" applyNumberFormat="1" applyFont="1" applyFill="1" applyBorder="1" applyAlignment="1" applyProtection="1">
      <alignment horizontal="right" vertical="top" wrapText="1"/>
      <protection hidden="1"/>
    </xf>
    <xf numFmtId="170" fontId="31" fillId="7" borderId="0" xfId="2" applyNumberFormat="1" applyFont="1" applyFill="1" applyBorder="1" applyAlignment="1" applyProtection="1">
      <alignment horizontal="right" vertical="top"/>
      <protection hidden="1"/>
    </xf>
    <xf numFmtId="170" fontId="31" fillId="16" borderId="0" xfId="2" applyNumberFormat="1" applyFont="1" applyFill="1" applyBorder="1" applyAlignment="1" applyProtection="1">
      <alignment horizontal="right" vertical="center"/>
      <protection hidden="1"/>
    </xf>
    <xf numFmtId="164" fontId="31" fillId="5" borderId="0" xfId="3" applyFont="1" applyFill="1" applyBorder="1" applyAlignment="1" applyProtection="1">
      <alignment horizontal="right" vertical="center"/>
      <protection hidden="1"/>
    </xf>
    <xf numFmtId="165" fontId="0" fillId="5" borderId="0" xfId="1" applyNumberFormat="1" applyFont="1" applyFill="1" applyBorder="1" applyAlignment="1" applyProtection="1">
      <alignment vertical="top"/>
      <protection hidden="1"/>
    </xf>
    <xf numFmtId="164" fontId="8" fillId="21" borderId="0" xfId="3" applyFont="1" applyFill="1" applyBorder="1" applyAlignment="1" applyProtection="1">
      <alignment vertical="top"/>
      <protection hidden="1"/>
    </xf>
    <xf numFmtId="164" fontId="0" fillId="21" borderId="0" xfId="3" applyFont="1" applyFill="1" applyBorder="1" applyProtection="1">
      <protection hidden="1"/>
    </xf>
    <xf numFmtId="164" fontId="8" fillId="21" borderId="0" xfId="3" applyFont="1" applyFill="1" applyBorder="1" applyProtection="1">
      <protection hidden="1"/>
    </xf>
    <xf numFmtId="165" fontId="31" fillId="5" borderId="0" xfId="0" applyNumberFormat="1" applyFont="1" applyFill="1" applyBorder="1" applyAlignment="1" applyProtection="1">
      <alignment horizontal="right"/>
      <protection hidden="1"/>
    </xf>
    <xf numFmtId="165" fontId="8" fillId="21" borderId="0" xfId="1" applyNumberFormat="1" applyFont="1" applyFill="1" applyBorder="1" applyAlignment="1" applyProtection="1">
      <alignment vertical="top"/>
      <protection hidden="1"/>
    </xf>
    <xf numFmtId="165" fontId="0" fillId="21" borderId="0" xfId="1" applyNumberFormat="1" applyFont="1" applyFill="1" applyBorder="1" applyProtection="1">
      <protection hidden="1"/>
    </xf>
    <xf numFmtId="0" fontId="0" fillId="0" borderId="15" xfId="0" applyBorder="1" applyProtection="1">
      <protection locked="0"/>
    </xf>
    <xf numFmtId="172" fontId="0" fillId="0" borderId="15" xfId="2" applyNumberFormat="1" applyFont="1" applyBorder="1" applyProtection="1">
      <protection locked="0"/>
    </xf>
    <xf numFmtId="0" fontId="0" fillId="0" borderId="15" xfId="0" applyBorder="1"/>
    <xf numFmtId="172" fontId="0" fillId="0" borderId="15" xfId="2" applyNumberFormat="1" applyFont="1" applyBorder="1"/>
    <xf numFmtId="164" fontId="0" fillId="0" borderId="15" xfId="0" applyNumberFormat="1" applyBorder="1"/>
    <xf numFmtId="164" fontId="0" fillId="0" borderId="15" xfId="0" applyNumberFormat="1" applyBorder="1" applyAlignment="1">
      <alignment horizontal="center" vertical="center"/>
    </xf>
    <xf numFmtId="172" fontId="0" fillId="0" borderId="15" xfId="2" applyNumberFormat="1" applyFont="1" applyBorder="1" applyAlignment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172" fontId="0" fillId="0" borderId="15" xfId="2" applyNumberFormat="1" applyFont="1" applyBorder="1" applyAlignment="1" applyProtection="1">
      <alignment vertical="center"/>
      <protection locked="0"/>
    </xf>
    <xf numFmtId="165" fontId="31" fillId="5" borderId="15" xfId="0" applyNumberFormat="1" applyFont="1" applyFill="1" applyBorder="1" applyAlignment="1" applyProtection="1">
      <alignment horizontal="right"/>
      <protection hidden="1"/>
    </xf>
    <xf numFmtId="165" fontId="0" fillId="0" borderId="15" xfId="0" applyNumberFormat="1" applyBorder="1"/>
    <xf numFmtId="0" fontId="38" fillId="0" borderId="15" xfId="0" applyFont="1" applyBorder="1" applyAlignment="1" applyProtection="1">
      <alignment horizontal="center" vertical="center"/>
      <protection locked="0"/>
    </xf>
    <xf numFmtId="172" fontId="38" fillId="0" borderId="15" xfId="2" applyNumberFormat="1" applyFont="1" applyBorder="1" applyAlignment="1" applyProtection="1">
      <alignment horizontal="center" vertical="center"/>
      <protection locked="0"/>
    </xf>
    <xf numFmtId="164" fontId="31" fillId="16" borderId="15" xfId="3" applyFont="1" applyFill="1" applyBorder="1" applyAlignment="1" applyProtection="1">
      <alignment horizontal="right" vertical="center"/>
      <protection hidden="1"/>
    </xf>
    <xf numFmtId="170" fontId="31" fillId="16" borderId="15" xfId="2" applyNumberFormat="1" applyFont="1" applyFill="1" applyBorder="1" applyAlignment="1" applyProtection="1">
      <alignment horizontal="right" vertical="center"/>
      <protection hidden="1"/>
    </xf>
    <xf numFmtId="164" fontId="8" fillId="21" borderId="15" xfId="3" applyFont="1" applyFill="1" applyBorder="1" applyAlignment="1" applyProtection="1">
      <alignment vertical="top"/>
      <protection hidden="1"/>
    </xf>
    <xf numFmtId="164" fontId="0" fillId="0" borderId="15" xfId="0" applyNumberFormat="1" applyBorder="1" applyProtection="1">
      <protection locked="0"/>
    </xf>
    <xf numFmtId="165" fontId="8" fillId="21" borderId="15" xfId="1" applyNumberFormat="1" applyFont="1" applyFill="1" applyBorder="1" applyAlignment="1" applyProtection="1">
      <alignment vertical="top"/>
      <protection hidden="1"/>
    </xf>
    <xf numFmtId="164" fontId="0" fillId="0" borderId="15" xfId="0" applyNumberFormat="1" applyBorder="1" applyAlignment="1">
      <alignment vertical="center"/>
    </xf>
    <xf numFmtId="172" fontId="0" fillId="0" borderId="15" xfId="2" applyNumberFormat="1" applyFont="1" applyBorder="1" applyAlignment="1">
      <alignment vertical="center"/>
    </xf>
    <xf numFmtId="172" fontId="0" fillId="0" borderId="15" xfId="0" applyNumberFormat="1" applyBorder="1"/>
    <xf numFmtId="4" fontId="0" fillId="24" borderId="19" xfId="0" applyNumberFormat="1" applyFill="1" applyBorder="1" applyAlignment="1" applyProtection="1">
      <alignment horizontal="right" vertical="top"/>
      <protection locked="0"/>
    </xf>
    <xf numFmtId="172" fontId="36" fillId="0" borderId="0" xfId="2" applyNumberFormat="1" applyFont="1" applyProtection="1">
      <protection hidden="1"/>
    </xf>
    <xf numFmtId="49" fontId="36" fillId="0" borderId="12" xfId="0" applyNumberFormat="1" applyFont="1" applyBorder="1" applyAlignment="1" applyProtection="1">
      <alignment horizontal="center" vertical="top"/>
      <protection hidden="1"/>
    </xf>
    <xf numFmtId="0" fontId="13" fillId="0" borderId="19" xfId="0" applyFont="1" applyBorder="1" applyAlignment="1" applyProtection="1">
      <alignment vertical="top" wrapText="1"/>
      <protection hidden="1"/>
    </xf>
    <xf numFmtId="0" fontId="36" fillId="0" borderId="19" xfId="0" applyFont="1" applyBorder="1" applyAlignment="1" applyProtection="1">
      <alignment horizontal="center" vertical="top"/>
      <protection hidden="1"/>
    </xf>
    <xf numFmtId="0" fontId="36" fillId="0" borderId="19" xfId="0" applyFont="1" applyBorder="1" applyAlignment="1" applyProtection="1">
      <alignment horizontal="right" vertical="top"/>
      <protection locked="0"/>
    </xf>
    <xf numFmtId="165" fontId="36" fillId="0" borderId="19" xfId="1" applyNumberFormat="1" applyFont="1" applyBorder="1" applyAlignment="1" applyProtection="1">
      <alignment horizontal="right" vertical="top"/>
      <protection hidden="1"/>
    </xf>
    <xf numFmtId="165" fontId="36" fillId="0" borderId="20" xfId="1" applyNumberFormat="1" applyFont="1" applyBorder="1" applyAlignment="1" applyProtection="1">
      <alignment horizontal="right" vertical="top"/>
      <protection hidden="1"/>
    </xf>
    <xf numFmtId="165" fontId="36" fillId="0" borderId="21" xfId="1" applyNumberFormat="1" applyFont="1" applyBorder="1" applyAlignment="1" applyProtection="1">
      <alignment horizontal="right" vertical="top"/>
    </xf>
    <xf numFmtId="165" fontId="36" fillId="0" borderId="19" xfId="1" applyNumberFormat="1" applyFont="1" applyBorder="1" applyAlignment="1" applyProtection="1">
      <alignment horizontal="right" vertical="top"/>
    </xf>
    <xf numFmtId="165" fontId="36" fillId="0" borderId="22" xfId="1" applyNumberFormat="1" applyFont="1" applyBorder="1" applyAlignment="1" applyProtection="1">
      <alignment horizontal="right" vertical="top"/>
      <protection hidden="1"/>
    </xf>
    <xf numFmtId="165" fontId="36" fillId="0" borderId="23" xfId="1" applyNumberFormat="1" applyFont="1" applyBorder="1" applyAlignment="1" applyProtection="1">
      <alignment horizontal="right" vertical="top"/>
      <protection hidden="1"/>
    </xf>
    <xf numFmtId="166" fontId="36" fillId="0" borderId="23" xfId="1" applyNumberFormat="1" applyFont="1" applyBorder="1" applyAlignment="1" applyProtection="1">
      <alignment horizontal="right" vertical="top"/>
      <protection hidden="1"/>
    </xf>
    <xf numFmtId="165" fontId="36" fillId="0" borderId="0" xfId="1" applyNumberFormat="1" applyFont="1" applyBorder="1" applyAlignment="1" applyProtection="1">
      <alignment horizontal="right" vertical="top"/>
      <protection hidden="1"/>
    </xf>
    <xf numFmtId="3" fontId="36" fillId="0" borderId="24" xfId="1" applyNumberFormat="1" applyFont="1" applyBorder="1" applyAlignment="1" applyProtection="1">
      <alignment horizontal="right" vertical="top"/>
      <protection hidden="1"/>
    </xf>
    <xf numFmtId="3" fontId="36" fillId="0" borderId="19" xfId="1" applyNumberFormat="1" applyFont="1" applyBorder="1" applyAlignment="1" applyProtection="1">
      <alignment horizontal="right" vertical="top"/>
      <protection hidden="1"/>
    </xf>
    <xf numFmtId="3" fontId="36" fillId="0" borderId="22" xfId="1" applyNumberFormat="1" applyFont="1" applyBorder="1" applyAlignment="1" applyProtection="1">
      <alignment horizontal="right" vertical="top"/>
      <protection hidden="1"/>
    </xf>
    <xf numFmtId="2" fontId="36" fillId="0" borderId="25" xfId="0" applyNumberFormat="1" applyFont="1" applyBorder="1"/>
    <xf numFmtId="2" fontId="36" fillId="7" borderId="26" xfId="0" applyNumberFormat="1" applyFont="1" applyFill="1" applyBorder="1"/>
    <xf numFmtId="165" fontId="36" fillId="0" borderId="19" xfId="0" applyNumberFormat="1" applyFont="1" applyBorder="1"/>
    <xf numFmtId="165" fontId="36" fillId="7" borderId="20" xfId="1" applyNumberFormat="1" applyFont="1" applyFill="1" applyBorder="1" applyAlignment="1" applyProtection="1">
      <alignment horizontal="right" vertical="top"/>
      <protection hidden="1"/>
    </xf>
    <xf numFmtId="0" fontId="36" fillId="0" borderId="27" xfId="0" applyFont="1" applyBorder="1"/>
    <xf numFmtId="0" fontId="36" fillId="5" borderId="28" xfId="0" applyFont="1" applyFill="1" applyBorder="1"/>
    <xf numFmtId="0" fontId="36" fillId="3" borderId="0" xfId="0" applyFont="1" applyFill="1" applyProtection="1">
      <protection hidden="1"/>
    </xf>
    <xf numFmtId="0" fontId="36" fillId="0" borderId="0" xfId="0" applyFont="1" applyAlignment="1">
      <alignment horizontal="center"/>
    </xf>
    <xf numFmtId="49" fontId="36" fillId="0" borderId="0" xfId="0" applyNumberFormat="1" applyFont="1" applyAlignment="1">
      <alignment vertical="top"/>
    </xf>
    <xf numFmtId="172" fontId="36" fillId="0" borderId="0" xfId="2" applyNumberFormat="1" applyFont="1" applyProtection="1">
      <protection locked="0"/>
    </xf>
    <xf numFmtId="168" fontId="8" fillId="0" borderId="0" xfId="1" applyNumberFormat="1" applyFont="1" applyBorder="1" applyAlignment="1" applyProtection="1">
      <alignment horizontal="center"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0" xfId="0" applyFont="1" applyAlignment="1" applyProtection="1">
      <alignment vertical="top" wrapText="1"/>
      <protection locked="0"/>
    </xf>
    <xf numFmtId="0" fontId="36" fillId="0" borderId="0" xfId="0" applyFont="1" applyAlignment="1" applyProtection="1">
      <alignment horizontal="center" vertical="top"/>
      <protection locked="0"/>
    </xf>
    <xf numFmtId="4" fontId="36" fillId="0" borderId="0" xfId="0" applyNumberFormat="1" applyFont="1" applyAlignment="1" applyProtection="1">
      <alignment horizontal="right" vertical="top"/>
      <protection locked="0"/>
    </xf>
    <xf numFmtId="164" fontId="36" fillId="0" borderId="0" xfId="3" applyFont="1" applyAlignment="1" applyProtection="1">
      <alignment vertical="top"/>
      <protection locked="0"/>
    </xf>
    <xf numFmtId="165" fontId="36" fillId="0" borderId="0" xfId="1" applyNumberFormat="1" applyFont="1" applyBorder="1" applyAlignment="1" applyProtection="1">
      <alignment vertical="top"/>
      <protection locked="0"/>
    </xf>
    <xf numFmtId="49" fontId="36" fillId="2" borderId="0" xfId="0" applyNumberFormat="1" applyFont="1" applyFill="1" applyAlignment="1">
      <alignment vertical="top"/>
    </xf>
    <xf numFmtId="0" fontId="39" fillId="0" borderId="15" xfId="0" applyFont="1" applyBorder="1" applyAlignment="1" applyProtection="1">
      <alignment horizontal="center" vertical="center"/>
      <protection locked="0"/>
    </xf>
    <xf numFmtId="172" fontId="39" fillId="0" borderId="15" xfId="2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center" vertical="top"/>
    </xf>
    <xf numFmtId="4" fontId="36" fillId="0" borderId="0" xfId="0" applyNumberFormat="1" applyFont="1" applyAlignment="1" applyProtection="1">
      <alignment horizontal="right" vertical="top"/>
      <protection hidden="1"/>
    </xf>
    <xf numFmtId="164" fontId="36" fillId="0" borderId="0" xfId="3" applyFont="1" applyAlignment="1">
      <alignment vertical="top"/>
    </xf>
    <xf numFmtId="43" fontId="36" fillId="0" borderId="0" xfId="1" applyFont="1" applyAlignment="1">
      <alignment vertical="top"/>
    </xf>
    <xf numFmtId="0" fontId="36" fillId="0" borderId="15" xfId="0" applyFont="1" applyBorder="1"/>
    <xf numFmtId="172" fontId="36" fillId="0" borderId="15" xfId="2" applyNumberFormat="1" applyFont="1" applyBorder="1"/>
    <xf numFmtId="49" fontId="36" fillId="14" borderId="41" xfId="0" applyNumberFormat="1" applyFont="1" applyFill="1" applyBorder="1" applyAlignment="1">
      <alignment horizontal="center" vertical="top"/>
    </xf>
    <xf numFmtId="4" fontId="36" fillId="0" borderId="19" xfId="0" applyNumberFormat="1" applyFont="1" applyBorder="1" applyAlignment="1" applyProtection="1">
      <alignment horizontal="right" vertical="top"/>
      <protection locked="0"/>
    </xf>
    <xf numFmtId="164" fontId="36" fillId="0" borderId="19" xfId="3" applyFont="1" applyBorder="1" applyAlignment="1" applyProtection="1">
      <alignment horizontal="right" vertical="top"/>
      <protection hidden="1"/>
    </xf>
    <xf numFmtId="170" fontId="36" fillId="0" borderId="20" xfId="2" applyNumberFormat="1" applyFont="1" applyBorder="1" applyAlignment="1" applyProtection="1">
      <alignment horizontal="right" vertical="top"/>
      <protection hidden="1"/>
    </xf>
    <xf numFmtId="170" fontId="36" fillId="0" borderId="0" xfId="2" applyNumberFormat="1" applyFont="1" applyBorder="1" applyAlignment="1" applyProtection="1">
      <alignment horizontal="right" vertical="top"/>
      <protection hidden="1"/>
    </xf>
    <xf numFmtId="164" fontId="36" fillId="0" borderId="15" xfId="0" applyNumberFormat="1" applyFont="1" applyBorder="1"/>
    <xf numFmtId="172" fontId="36" fillId="0" borderId="15" xfId="0" applyNumberFormat="1" applyFont="1" applyBorder="1"/>
    <xf numFmtId="172" fontId="36" fillId="0" borderId="0" xfId="0" applyNumberFormat="1" applyFont="1"/>
    <xf numFmtId="49" fontId="36" fillId="14" borderId="25" xfId="0" applyNumberFormat="1" applyFont="1" applyFill="1" applyBorder="1" applyAlignment="1">
      <alignment horizontal="center" vertical="top"/>
    </xf>
    <xf numFmtId="4" fontId="36" fillId="0" borderId="19" xfId="0" applyNumberFormat="1" applyFont="1" applyBorder="1" applyAlignment="1" applyProtection="1">
      <alignment horizontal="right" vertical="top"/>
      <protection locked="0" hidden="1"/>
    </xf>
    <xf numFmtId="49" fontId="36" fillId="14" borderId="64" xfId="0" applyNumberFormat="1" applyFont="1" applyFill="1" applyBorder="1" applyAlignment="1">
      <alignment horizontal="center" vertical="top"/>
    </xf>
    <xf numFmtId="0" fontId="13" fillId="7" borderId="66" xfId="0" applyFont="1" applyFill="1" applyBorder="1" applyAlignment="1" applyProtection="1">
      <alignment vertical="top" wrapText="1"/>
      <protection hidden="1"/>
    </xf>
    <xf numFmtId="0" fontId="36" fillId="7" borderId="66" xfId="0" applyFont="1" applyFill="1" applyBorder="1" applyAlignment="1" applyProtection="1">
      <alignment horizontal="center" vertical="top"/>
      <protection hidden="1"/>
    </xf>
    <xf numFmtId="4" fontId="36" fillId="7" borderId="66" xfId="0" applyNumberFormat="1" applyFont="1" applyFill="1" applyBorder="1" applyAlignment="1" applyProtection="1">
      <alignment horizontal="right" vertical="top"/>
      <protection locked="0" hidden="1"/>
    </xf>
    <xf numFmtId="4" fontId="36" fillId="0" borderId="0" xfId="0" applyNumberFormat="1" applyFont="1" applyAlignment="1">
      <alignment horizontal="right" vertical="top"/>
    </xf>
    <xf numFmtId="49" fontId="36" fillId="0" borderId="0" xfId="0" applyNumberFormat="1" applyFont="1" applyBorder="1" applyAlignment="1" applyProtection="1">
      <alignment horizontal="center" vertical="top"/>
      <protection hidden="1"/>
    </xf>
    <xf numFmtId="49" fontId="36" fillId="0" borderId="12" xfId="0" quotePrefix="1" applyNumberFormat="1" applyFont="1" applyBorder="1" applyAlignment="1" applyProtection="1">
      <alignment horizontal="center" vertical="top"/>
      <protection hidden="1"/>
    </xf>
    <xf numFmtId="49" fontId="36" fillId="0" borderId="0" xfId="0" quotePrefix="1" applyNumberFormat="1" applyFont="1" applyBorder="1" applyAlignment="1" applyProtection="1">
      <alignment horizontal="center" vertical="top"/>
      <protection hidden="1"/>
    </xf>
    <xf numFmtId="0" fontId="13" fillId="0" borderId="19" xfId="0" applyFont="1" applyBorder="1" applyAlignment="1" applyProtection="1">
      <alignment vertical="center" wrapText="1"/>
      <protection hidden="1"/>
    </xf>
    <xf numFmtId="0" fontId="36" fillId="0" borderId="19" xfId="0" applyFont="1" applyBorder="1" applyAlignment="1" applyProtection="1">
      <alignment horizontal="center" vertical="center"/>
      <protection hidden="1"/>
    </xf>
    <xf numFmtId="4" fontId="36" fillId="0" borderId="19" xfId="0" applyNumberFormat="1" applyFont="1" applyBorder="1" applyAlignment="1" applyProtection="1">
      <alignment horizontal="right" vertical="center"/>
      <protection locked="0"/>
    </xf>
    <xf numFmtId="164" fontId="36" fillId="0" borderId="19" xfId="3" applyFont="1" applyBorder="1" applyAlignment="1" applyProtection="1">
      <alignment horizontal="right" vertical="center"/>
      <protection hidden="1"/>
    </xf>
    <xf numFmtId="170" fontId="36" fillId="0" borderId="0" xfId="2" applyNumberFormat="1" applyFont="1" applyBorder="1" applyAlignment="1" applyProtection="1">
      <alignment horizontal="right" vertical="center"/>
      <protection hidden="1"/>
    </xf>
    <xf numFmtId="164" fontId="36" fillId="0" borderId="15" xfId="0" applyNumberFormat="1" applyFont="1" applyBorder="1" applyAlignment="1">
      <alignment horizontal="center" vertical="center"/>
    </xf>
    <xf numFmtId="172" fontId="36" fillId="0" borderId="15" xfId="2" applyNumberFormat="1" applyFont="1" applyBorder="1" applyAlignment="1">
      <alignment horizontal="center" vertical="center"/>
    </xf>
    <xf numFmtId="49" fontId="36" fillId="14" borderId="0" xfId="0" applyNumberFormat="1" applyFont="1" applyFill="1" applyBorder="1" applyAlignment="1">
      <alignment horizontal="center" vertical="top"/>
    </xf>
    <xf numFmtId="49" fontId="36" fillId="14" borderId="78" xfId="0" applyNumberFormat="1" applyFont="1" applyFill="1" applyBorder="1" applyAlignment="1">
      <alignment horizontal="center" vertical="top"/>
    </xf>
    <xf numFmtId="0" fontId="13" fillId="0" borderId="60" xfId="0" applyFont="1" applyBorder="1" applyAlignment="1" applyProtection="1">
      <alignment vertical="top" wrapText="1"/>
      <protection hidden="1"/>
    </xf>
    <xf numFmtId="0" fontId="36" fillId="0" borderId="60" xfId="0" applyFont="1" applyBorder="1" applyAlignment="1" applyProtection="1">
      <alignment horizontal="center" vertical="top"/>
      <protection hidden="1"/>
    </xf>
    <xf numFmtId="4" fontId="36" fillId="0" borderId="60" xfId="0" applyNumberFormat="1" applyFont="1" applyBorder="1" applyAlignment="1" applyProtection="1">
      <alignment horizontal="right" vertical="top"/>
      <protection locked="0" hidden="1"/>
    </xf>
    <xf numFmtId="164" fontId="36" fillId="0" borderId="60" xfId="3" applyFont="1" applyBorder="1" applyAlignment="1" applyProtection="1">
      <alignment horizontal="right" vertical="top"/>
      <protection hidden="1"/>
    </xf>
    <xf numFmtId="165" fontId="36" fillId="0" borderId="80" xfId="1" applyNumberFormat="1" applyFont="1" applyBorder="1" applyAlignment="1" applyProtection="1">
      <alignment horizontal="right" vertical="top"/>
      <protection hidden="1"/>
    </xf>
    <xf numFmtId="49" fontId="36" fillId="14" borderId="83" xfId="0" applyNumberFormat="1" applyFont="1" applyFill="1" applyBorder="1" applyAlignment="1">
      <alignment horizontal="center" vertical="top"/>
    </xf>
    <xf numFmtId="0" fontId="40" fillId="0" borderId="0" xfId="0" applyFont="1" applyAlignment="1" applyProtection="1">
      <alignment horizontal="left"/>
      <protection locked="0"/>
    </xf>
    <xf numFmtId="165" fontId="36" fillId="0" borderId="0" xfId="1" applyNumberFormat="1" applyFont="1" applyAlignment="1">
      <alignment vertical="top"/>
    </xf>
    <xf numFmtId="0" fontId="36" fillId="0" borderId="15" xfId="0" applyFont="1" applyBorder="1" applyProtection="1">
      <protection locked="0"/>
    </xf>
    <xf numFmtId="0" fontId="36" fillId="0" borderId="0" xfId="0" applyFont="1" applyAlignment="1" applyProtection="1">
      <alignment vertical="center"/>
      <protection hidden="1"/>
    </xf>
    <xf numFmtId="0" fontId="36" fillId="16" borderId="12" xfId="0" applyFont="1" applyFill="1" applyBorder="1" applyAlignment="1" applyProtection="1">
      <alignment vertical="center"/>
      <protection hidden="1"/>
    </xf>
    <xf numFmtId="0" fontId="36" fillId="16" borderId="13" xfId="0" applyFont="1" applyFill="1" applyBorder="1" applyAlignment="1" applyProtection="1">
      <alignment vertical="center"/>
      <protection hidden="1"/>
    </xf>
    <xf numFmtId="4" fontId="36" fillId="16" borderId="13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hidden="1"/>
    </xf>
    <xf numFmtId="4" fontId="36" fillId="0" borderId="0" xfId="0" applyNumberFormat="1" applyFont="1" applyFill="1" applyBorder="1" applyAlignment="1" applyProtection="1">
      <alignment vertical="center"/>
      <protection hidden="1"/>
    </xf>
    <xf numFmtId="0" fontId="36" fillId="0" borderId="15" xfId="0" applyFont="1" applyBorder="1" applyAlignment="1" applyProtection="1">
      <alignment vertical="center"/>
      <protection locked="0"/>
    </xf>
    <xf numFmtId="164" fontId="36" fillId="0" borderId="15" xfId="0" applyNumberFormat="1" applyFont="1" applyBorder="1" applyAlignment="1">
      <alignment vertical="center"/>
    </xf>
    <xf numFmtId="172" fontId="36" fillId="0" borderId="15" xfId="2" applyNumberFormat="1" applyFont="1" applyBorder="1" applyAlignment="1">
      <alignment vertical="center"/>
    </xf>
    <xf numFmtId="170" fontId="36" fillId="0" borderId="0" xfId="2" applyNumberFormat="1" applyFont="1" applyAlignment="1">
      <alignment vertical="top"/>
    </xf>
    <xf numFmtId="172" fontId="36" fillId="0" borderId="15" xfId="2" applyNumberFormat="1" applyFont="1" applyBorder="1" applyAlignment="1" applyProtection="1">
      <alignment vertical="center"/>
      <protection locked="0"/>
    </xf>
    <xf numFmtId="0" fontId="36" fillId="5" borderId="12" xfId="0" applyFont="1" applyFill="1" applyBorder="1" applyAlignment="1" applyProtection="1">
      <alignment vertical="center"/>
      <protection hidden="1"/>
    </xf>
    <xf numFmtId="0" fontId="36" fillId="5" borderId="13" xfId="0" applyFont="1" applyFill="1" applyBorder="1" applyAlignment="1" applyProtection="1">
      <alignment vertical="center"/>
      <protection hidden="1"/>
    </xf>
    <xf numFmtId="4" fontId="36" fillId="5" borderId="13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 wrapText="1"/>
      <protection hidden="1"/>
    </xf>
    <xf numFmtId="0" fontId="36" fillId="0" borderId="0" xfId="0" applyFont="1" applyAlignment="1" applyProtection="1">
      <alignment horizontal="center" vertical="top"/>
      <protection hidden="1"/>
    </xf>
    <xf numFmtId="164" fontId="36" fillId="0" borderId="0" xfId="3" applyFont="1" applyAlignment="1" applyProtection="1">
      <alignment vertical="top"/>
      <protection hidden="1"/>
    </xf>
    <xf numFmtId="165" fontId="36" fillId="0" borderId="0" xfId="1" applyNumberFormat="1" applyFont="1" applyAlignment="1" applyProtection="1">
      <alignment vertical="top"/>
      <protection hidden="1"/>
    </xf>
    <xf numFmtId="172" fontId="36" fillId="0" borderId="15" xfId="2" applyNumberFormat="1" applyFont="1" applyBorder="1" applyProtection="1">
      <protection locked="0"/>
    </xf>
    <xf numFmtId="0" fontId="36" fillId="5" borderId="13" xfId="0" applyFont="1" applyFill="1" applyBorder="1" applyAlignment="1" applyProtection="1">
      <alignment horizontal="center" vertical="top"/>
      <protection hidden="1"/>
    </xf>
    <xf numFmtId="4" fontId="36" fillId="5" borderId="13" xfId="0" applyNumberFormat="1" applyFont="1" applyFill="1" applyBorder="1" applyAlignment="1" applyProtection="1">
      <alignment horizontal="right" vertical="top"/>
      <protection hidden="1"/>
    </xf>
    <xf numFmtId="164" fontId="36" fillId="5" borderId="13" xfId="3" applyFont="1" applyFill="1" applyBorder="1" applyAlignment="1" applyProtection="1">
      <alignment vertical="top"/>
      <protection hidden="1"/>
    </xf>
    <xf numFmtId="165" fontId="36" fillId="5" borderId="14" xfId="1" applyNumberFormat="1" applyFont="1" applyFill="1" applyBorder="1" applyAlignment="1" applyProtection="1">
      <alignment vertical="top"/>
      <protection hidden="1"/>
    </xf>
    <xf numFmtId="165" fontId="36" fillId="5" borderId="0" xfId="1" applyNumberFormat="1" applyFont="1" applyFill="1" applyBorder="1" applyAlignment="1" applyProtection="1">
      <alignment vertical="top"/>
      <protection hidden="1"/>
    </xf>
    <xf numFmtId="0" fontId="36" fillId="21" borderId="88" xfId="0" applyFont="1" applyFill="1" applyBorder="1" applyProtection="1">
      <protection hidden="1"/>
    </xf>
    <xf numFmtId="0" fontId="36" fillId="21" borderId="81" xfId="0" applyFont="1" applyFill="1" applyBorder="1" applyProtection="1">
      <protection hidden="1"/>
    </xf>
    <xf numFmtId="4" fontId="36" fillId="21" borderId="81" xfId="0" applyNumberFormat="1" applyFont="1" applyFill="1" applyBorder="1" applyProtection="1">
      <protection hidden="1"/>
    </xf>
    <xf numFmtId="164" fontId="36" fillId="21" borderId="76" xfId="3" applyFont="1" applyFill="1" applyBorder="1" applyProtection="1">
      <protection hidden="1"/>
    </xf>
    <xf numFmtId="164" fontId="36" fillId="21" borderId="0" xfId="3" applyFont="1" applyFill="1" applyBorder="1" applyProtection="1">
      <protection hidden="1"/>
    </xf>
    <xf numFmtId="164" fontId="36" fillId="0" borderId="15" xfId="0" applyNumberFormat="1" applyFont="1" applyBorder="1" applyProtection="1">
      <protection locked="0"/>
    </xf>
    <xf numFmtId="0" fontId="6" fillId="5" borderId="12" xfId="5" applyFont="1" applyFill="1" applyBorder="1" applyAlignment="1" applyProtection="1">
      <protection hidden="1"/>
    </xf>
    <xf numFmtId="0" fontId="36" fillId="5" borderId="13" xfId="0" applyFont="1" applyFill="1" applyBorder="1" applyProtection="1">
      <protection hidden="1"/>
    </xf>
    <xf numFmtId="4" fontId="36" fillId="5" borderId="13" xfId="0" applyNumberFormat="1" applyFont="1" applyFill="1" applyBorder="1" applyProtection="1">
      <protection hidden="1"/>
    </xf>
    <xf numFmtId="4" fontId="36" fillId="0" borderId="0" xfId="0" applyNumberFormat="1" applyFont="1" applyProtection="1">
      <protection hidden="1"/>
    </xf>
    <xf numFmtId="165" fontId="36" fillId="21" borderId="76" xfId="1" applyNumberFormat="1" applyFont="1" applyFill="1" applyBorder="1" applyProtection="1">
      <protection hidden="1"/>
    </xf>
    <xf numFmtId="165" fontId="36" fillId="21" borderId="0" xfId="1" applyNumberFormat="1" applyFont="1" applyFill="1" applyBorder="1" applyProtection="1">
      <protection hidden="1"/>
    </xf>
    <xf numFmtId="49" fontId="36" fillId="0" borderId="0" xfId="0" applyNumberFormat="1" applyFont="1"/>
    <xf numFmtId="4" fontId="36" fillId="0" borderId="0" xfId="0" applyNumberFormat="1" applyFont="1"/>
    <xf numFmtId="164" fontId="36" fillId="0" borderId="0" xfId="3" applyFont="1"/>
    <xf numFmtId="165" fontId="36" fillId="0" borderId="15" xfId="0" applyNumberFormat="1" applyFont="1" applyBorder="1"/>
    <xf numFmtId="164" fontId="36" fillId="0" borderId="0" xfId="3" applyFont="1" applyProtection="1">
      <protection hidden="1"/>
    </xf>
    <xf numFmtId="165" fontId="36" fillId="0" borderId="0" xfId="0" applyNumberFormat="1" applyFont="1" applyProtection="1">
      <protection hidden="1"/>
    </xf>
    <xf numFmtId="164" fontId="36" fillId="0" borderId="0" xfId="3" applyFont="1" applyBorder="1" applyAlignment="1" applyProtection="1">
      <alignment horizontal="right" vertical="top"/>
      <protection hidden="1"/>
    </xf>
    <xf numFmtId="0" fontId="13" fillId="0" borderId="0" xfId="0" applyFont="1" applyAlignment="1" applyProtection="1">
      <alignment vertical="top" wrapText="1"/>
      <protection hidden="1"/>
    </xf>
    <xf numFmtId="172" fontId="36" fillId="0" borderId="0" xfId="2" applyNumberFormat="1" applyFont="1"/>
    <xf numFmtId="4" fontId="36" fillId="0" borderId="19" xfId="0" applyNumberFormat="1" applyFont="1" applyFill="1" applyBorder="1" applyAlignment="1" applyProtection="1">
      <alignment horizontal="right" vertical="top"/>
      <protection locked="0"/>
    </xf>
    <xf numFmtId="0" fontId="36" fillId="24" borderId="91" xfId="0" applyFont="1" applyFill="1" applyBorder="1" applyProtection="1">
      <protection hidden="1"/>
    </xf>
    <xf numFmtId="0" fontId="36" fillId="24" borderId="92" xfId="0" applyFont="1" applyFill="1" applyBorder="1" applyProtection="1">
      <protection hidden="1"/>
    </xf>
    <xf numFmtId="4" fontId="36" fillId="24" borderId="92" xfId="0" applyNumberFormat="1" applyFont="1" applyFill="1" applyBorder="1" applyAlignment="1" applyProtection="1">
      <alignment horizontal="right"/>
      <protection hidden="1"/>
    </xf>
    <xf numFmtId="10" fontId="36" fillId="24" borderId="93" xfId="4" applyNumberFormat="1" applyFont="1" applyFill="1" applyBorder="1" applyAlignment="1" applyProtection="1">
      <alignment horizontal="center"/>
      <protection hidden="1"/>
    </xf>
    <xf numFmtId="0" fontId="36" fillId="24" borderId="94" xfId="0" applyFont="1" applyFill="1" applyBorder="1" applyProtection="1">
      <protection hidden="1"/>
    </xf>
    <xf numFmtId="0" fontId="36" fillId="24" borderId="21" xfId="0" applyFont="1" applyFill="1" applyBorder="1" applyProtection="1">
      <protection hidden="1"/>
    </xf>
    <xf numFmtId="4" fontId="36" fillId="24" borderId="21" xfId="0" applyNumberFormat="1" applyFont="1" applyFill="1" applyBorder="1" applyAlignment="1" applyProtection="1">
      <alignment horizontal="right"/>
      <protection hidden="1"/>
    </xf>
    <xf numFmtId="10" fontId="36" fillId="24" borderId="26" xfId="4" applyNumberFormat="1" applyFont="1" applyFill="1" applyBorder="1" applyAlignment="1" applyProtection="1">
      <alignment horizontal="center"/>
      <protection hidden="1"/>
    </xf>
    <xf numFmtId="0" fontId="36" fillId="24" borderId="95" xfId="0" applyFont="1" applyFill="1" applyBorder="1" applyProtection="1">
      <protection hidden="1"/>
    </xf>
    <xf numFmtId="0" fontId="36" fillId="24" borderId="96" xfId="0" applyFont="1" applyFill="1" applyBorder="1" applyProtection="1">
      <protection hidden="1"/>
    </xf>
    <xf numFmtId="4" fontId="8" fillId="24" borderId="96" xfId="0" applyNumberFormat="1" applyFont="1" applyFill="1" applyBorder="1" applyAlignment="1" applyProtection="1">
      <alignment horizontal="right"/>
      <protection hidden="1"/>
    </xf>
    <xf numFmtId="10" fontId="8" fillId="24" borderId="97" xfId="4" applyNumberFormat="1" applyFont="1" applyFill="1" applyBorder="1" applyAlignment="1" applyProtection="1">
      <alignment horizontal="center"/>
      <protection hidden="1"/>
    </xf>
    <xf numFmtId="9" fontId="36" fillId="24" borderId="93" xfId="4" applyFont="1" applyFill="1" applyBorder="1" applyAlignment="1" applyProtection="1">
      <alignment horizontal="center"/>
      <protection hidden="1"/>
    </xf>
    <xf numFmtId="0" fontId="0" fillId="24" borderId="91" xfId="0" applyFill="1" applyBorder="1" applyProtection="1">
      <protection hidden="1"/>
    </xf>
    <xf numFmtId="0" fontId="0" fillId="24" borderId="92" xfId="0" applyFill="1" applyBorder="1" applyProtection="1">
      <protection hidden="1"/>
    </xf>
    <xf numFmtId="4" fontId="0" fillId="24" borderId="92" xfId="0" applyNumberFormat="1" applyFill="1" applyBorder="1" applyAlignment="1" applyProtection="1">
      <alignment horizontal="right"/>
      <protection hidden="1"/>
    </xf>
    <xf numFmtId="10" fontId="0" fillId="24" borderId="93" xfId="4" applyNumberFormat="1" applyFont="1" applyFill="1" applyBorder="1" applyAlignment="1" applyProtection="1">
      <alignment horizontal="center"/>
      <protection hidden="1"/>
    </xf>
    <xf numFmtId="0" fontId="0" fillId="24" borderId="94" xfId="0" applyFill="1" applyBorder="1" applyProtection="1">
      <protection hidden="1"/>
    </xf>
    <xf numFmtId="0" fontId="0" fillId="24" borderId="21" xfId="0" applyFill="1" applyBorder="1" applyProtection="1">
      <protection hidden="1"/>
    </xf>
    <xf numFmtId="4" fontId="0" fillId="24" borderId="21" xfId="0" applyNumberFormat="1" applyFill="1" applyBorder="1" applyAlignment="1" applyProtection="1">
      <alignment horizontal="right"/>
      <protection hidden="1"/>
    </xf>
    <xf numFmtId="10" fontId="0" fillId="24" borderId="26" xfId="4" applyNumberFormat="1" applyFont="1" applyFill="1" applyBorder="1" applyAlignment="1" applyProtection="1">
      <alignment horizontal="center"/>
      <protection hidden="1"/>
    </xf>
    <xf numFmtId="0" fontId="0" fillId="24" borderId="95" xfId="0" applyFill="1" applyBorder="1" applyProtection="1">
      <protection hidden="1"/>
    </xf>
    <xf numFmtId="0" fontId="0" fillId="24" borderId="96" xfId="0" applyFill="1" applyBorder="1" applyProtection="1">
      <protection hidden="1"/>
    </xf>
    <xf numFmtId="9" fontId="0" fillId="24" borderId="93" xfId="4" applyFont="1" applyFill="1" applyBorder="1" applyAlignment="1" applyProtection="1">
      <alignment horizontal="center"/>
      <protection hidden="1"/>
    </xf>
    <xf numFmtId="4" fontId="0" fillId="0" borderId="19" xfId="0" applyNumberFormat="1" applyFill="1" applyBorder="1" applyAlignment="1" applyProtection="1">
      <alignment horizontal="right" vertical="top"/>
      <protection locked="0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6" fillId="0" borderId="33" xfId="0" applyFont="1" applyBorder="1" applyAlignment="1" applyProtection="1">
      <alignment horizontal="center" vertical="center" wrapText="1"/>
      <protection locked="0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0" fontId="26" fillId="0" borderId="44" xfId="0" applyFont="1" applyBorder="1" applyAlignment="1" applyProtection="1">
      <alignment horizontal="center" vertical="center" wrapText="1"/>
      <protection locked="0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top" wrapText="1"/>
      <protection locked="0"/>
    </xf>
    <xf numFmtId="0" fontId="8" fillId="0" borderId="56" xfId="0" applyFont="1" applyBorder="1" applyAlignment="1" applyProtection="1">
      <alignment horizontal="center" vertical="top" wrapText="1"/>
      <protection locked="0"/>
    </xf>
    <xf numFmtId="0" fontId="28" fillId="0" borderId="52" xfId="0" applyFont="1" applyBorder="1" applyAlignment="1" applyProtection="1">
      <alignment horizontal="center" vertical="top" wrapText="1"/>
      <protection locked="0"/>
    </xf>
    <xf numFmtId="0" fontId="28" fillId="0" borderId="53" xfId="0" applyFont="1" applyBorder="1" applyAlignment="1" applyProtection="1">
      <alignment horizontal="center" vertical="top" wrapText="1"/>
      <protection locked="0"/>
    </xf>
    <xf numFmtId="0" fontId="28" fillId="0" borderId="54" xfId="0" applyFont="1" applyBorder="1" applyAlignment="1" applyProtection="1">
      <alignment horizontal="center" vertical="top" wrapText="1"/>
      <protection locked="0"/>
    </xf>
    <xf numFmtId="0" fontId="28" fillId="0" borderId="29" xfId="0" applyFont="1" applyBorder="1" applyAlignment="1" applyProtection="1">
      <alignment horizontal="center" vertical="top" wrapText="1"/>
      <protection locked="0"/>
    </xf>
    <xf numFmtId="0" fontId="28" fillId="0" borderId="30" xfId="0" applyFont="1" applyBorder="1" applyAlignment="1" applyProtection="1">
      <alignment horizontal="center" vertical="top" wrapText="1"/>
      <protection locked="0"/>
    </xf>
    <xf numFmtId="0" fontId="28" fillId="0" borderId="31" xfId="0" applyFont="1" applyBorder="1" applyAlignment="1" applyProtection="1">
      <alignment horizontal="center" vertical="top" wrapText="1"/>
      <protection locked="0"/>
    </xf>
    <xf numFmtId="0" fontId="26" fillId="0" borderId="0" xfId="0" applyFont="1" applyAlignment="1" applyProtection="1">
      <alignment horizontal="center" vertical="center" wrapText="1"/>
      <protection hidden="1"/>
    </xf>
    <xf numFmtId="0" fontId="31" fillId="20" borderId="12" xfId="0" applyFont="1" applyFill="1" applyBorder="1" applyAlignment="1" applyProtection="1">
      <alignment vertical="top" wrapText="1"/>
      <protection hidden="1"/>
    </xf>
    <xf numFmtId="0" fontId="31" fillId="20" borderId="13" xfId="0" applyFont="1" applyFill="1" applyBorder="1" applyAlignment="1" applyProtection="1">
      <alignment vertical="top" wrapText="1"/>
      <protection hidden="1"/>
    </xf>
    <xf numFmtId="0" fontId="31" fillId="19" borderId="12" xfId="0" applyFont="1" applyFill="1" applyBorder="1" applyAlignment="1" applyProtection="1">
      <alignment vertical="top" wrapText="1"/>
      <protection hidden="1"/>
    </xf>
    <xf numFmtId="0" fontId="31" fillId="19" borderId="13" xfId="0" applyFont="1" applyFill="1" applyBorder="1" applyAlignment="1" applyProtection="1">
      <alignment vertical="top" wrapText="1"/>
      <protection hidden="1"/>
    </xf>
    <xf numFmtId="4" fontId="26" fillId="0" borderId="36" xfId="0" applyNumberFormat="1" applyFont="1" applyBorder="1" applyAlignment="1" applyProtection="1">
      <alignment horizontal="center" vertical="center" wrapText="1"/>
      <protection locked="0"/>
    </xf>
    <xf numFmtId="4" fontId="26" fillId="0" borderId="34" xfId="0" applyNumberFormat="1" applyFont="1" applyBorder="1" applyAlignment="1" applyProtection="1">
      <alignment horizontal="center" vertical="center" wrapText="1"/>
      <protection locked="0"/>
    </xf>
    <xf numFmtId="4" fontId="26" fillId="0" borderId="37" xfId="0" applyNumberFormat="1" applyFont="1" applyBorder="1" applyAlignment="1" applyProtection="1">
      <alignment horizontal="center" vertical="center" wrapText="1"/>
      <protection locked="0"/>
    </xf>
    <xf numFmtId="4" fontId="26" fillId="0" borderId="46" xfId="0" applyNumberFormat="1" applyFont="1" applyBorder="1" applyAlignment="1" applyProtection="1">
      <alignment horizontal="center" vertical="center" wrapText="1"/>
      <protection locked="0"/>
    </xf>
    <xf numFmtId="4" fontId="26" fillId="0" borderId="44" xfId="0" applyNumberFormat="1" applyFont="1" applyBorder="1" applyAlignment="1" applyProtection="1">
      <alignment horizontal="center" vertical="center" wrapText="1"/>
      <protection locked="0"/>
    </xf>
    <xf numFmtId="4" fontId="26" fillId="0" borderId="47" xfId="0" applyNumberFormat="1" applyFont="1" applyBorder="1" applyAlignment="1" applyProtection="1">
      <alignment horizontal="center" vertical="center" wrapText="1"/>
      <protection locked="0"/>
    </xf>
    <xf numFmtId="164" fontId="7" fillId="3" borderId="1" xfId="3" applyFont="1" applyFill="1" applyBorder="1" applyAlignment="1" applyProtection="1">
      <alignment horizontal="center" wrapText="1"/>
      <protection hidden="1"/>
    </xf>
    <xf numFmtId="165" fontId="12" fillId="4" borderId="3" xfId="1" applyNumberFormat="1" applyFont="1" applyFill="1" applyBorder="1" applyAlignment="1" applyProtection="1">
      <alignment horizontal="center" vertical="center"/>
      <protection hidden="1"/>
    </xf>
    <xf numFmtId="165" fontId="12" fillId="4" borderId="4" xfId="1" applyNumberFormat="1" applyFont="1" applyFill="1" applyBorder="1" applyAlignment="1" applyProtection="1">
      <alignment horizontal="center" vertical="center"/>
      <protection hidden="1"/>
    </xf>
    <xf numFmtId="165" fontId="12" fillId="4" borderId="5" xfId="1" applyNumberFormat="1" applyFont="1" applyFill="1" applyBorder="1" applyAlignment="1" applyProtection="1">
      <alignment horizontal="center" vertical="center"/>
      <protection hidden="1"/>
    </xf>
    <xf numFmtId="165" fontId="12" fillId="4" borderId="29" xfId="1" applyNumberFormat="1" applyFont="1" applyFill="1" applyBorder="1" applyAlignment="1" applyProtection="1">
      <alignment horizontal="center" vertical="center"/>
      <protection hidden="1"/>
    </xf>
    <xf numFmtId="165" fontId="12" fillId="4" borderId="30" xfId="1" applyNumberFormat="1" applyFont="1" applyFill="1" applyBorder="1" applyAlignment="1" applyProtection="1">
      <alignment horizontal="center" vertical="center"/>
      <protection hidden="1"/>
    </xf>
    <xf numFmtId="165" fontId="12" fillId="4" borderId="31" xfId="1" applyNumberFormat="1" applyFont="1" applyFill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</cellXfs>
  <cellStyles count="7">
    <cellStyle name="Hipervínculo" xfId="5" builtinId="8"/>
    <cellStyle name="Millares" xfId="1" builtinId="3"/>
    <cellStyle name="Moneda" xfId="2" builtinId="4"/>
    <cellStyle name="Moneda [0]" xfId="3" builtinId="7"/>
    <cellStyle name="Normal" xfId="0" builtinId="0"/>
    <cellStyle name="Normal 5" xfId="6"/>
    <cellStyle name="Porcentaje" xfId="4" builtinId="5"/>
  </cellStyles>
  <dxfs count="137"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rgb="FFE6F5F5"/>
        </patternFill>
      </fill>
    </dxf>
    <dxf>
      <fill>
        <patternFill>
          <bgColor rgb="FFF7EAE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156</xdr:row>
      <xdr:rowOff>0</xdr:rowOff>
    </xdr:from>
    <xdr:to>
      <xdr:col>2</xdr:col>
      <xdr:colOff>1710643</xdr:colOff>
      <xdr:row>161</xdr:row>
      <xdr:rowOff>125187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31308675"/>
          <a:ext cx="1605868" cy="1077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156</xdr:row>
      <xdr:rowOff>0</xdr:rowOff>
    </xdr:from>
    <xdr:to>
      <xdr:col>2</xdr:col>
      <xdr:colOff>1710643</xdr:colOff>
      <xdr:row>161</xdr:row>
      <xdr:rowOff>125187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31308675"/>
          <a:ext cx="1605868" cy="1077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179293</xdr:colOff>
      <xdr:row>6</xdr:row>
      <xdr:rowOff>63760</xdr:rowOff>
    </xdr:from>
    <xdr:to>
      <xdr:col>2</xdr:col>
      <xdr:colOff>326570</xdr:colOff>
      <xdr:row>7</xdr:row>
      <xdr:rowOff>135943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" y="63760"/>
          <a:ext cx="786813" cy="793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i1fin\Acta\Acta\acta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ci/AppData/Local/Temp/Documents%20and%20Settings/crendon.HMV/Local%20Settings/Temporary%20Internet%20Files/OLK3/85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Acuavalle\PROYECTOS\2021\STE%20-%20005-2021%20Proyecto%20Acueducto%20Guabitas\PRES%20OFICIAL%20ACUE%20GUABITAS%20GUAC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O"/>
      <sheetName val="Cant y costos"/>
      <sheetName val="ACTA"/>
      <sheetName val="VALOR DE OBRAS"/>
      <sheetName val="Batea COMEHUEVO"/>
      <sheetName val="Batea La Montana"/>
      <sheetName val="Alcantarillas"/>
      <sheetName val="Otros Concreto"/>
      <sheetName val="cunetas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Datos Gener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ANT. DE OBRA"/>
      <sheetName val="APUS "/>
      <sheetName val="PRESUPUESTO"/>
      <sheetName val="Analisis de AIU"/>
      <sheetName val="PAPSO"/>
      <sheetName val="PGIO"/>
      <sheetName val="PMT"/>
      <sheetName val="INTERVENTORIA "/>
      <sheetName val="TARJETA PROFESIONAL"/>
      <sheetName val="Cronograma programado"/>
    </sheetNames>
    <sheetDataSet>
      <sheetData sheetId="0"/>
      <sheetData sheetId="1"/>
      <sheetData sheetId="2">
        <row r="3">
          <cell r="A3">
            <v>1</v>
          </cell>
        </row>
        <row r="143">
          <cell r="H143">
            <v>316</v>
          </cell>
        </row>
        <row r="145">
          <cell r="I145">
            <v>95.34</v>
          </cell>
        </row>
        <row r="147">
          <cell r="H147">
            <v>962.91</v>
          </cell>
        </row>
        <row r="150">
          <cell r="H150">
            <v>368.15</v>
          </cell>
        </row>
        <row r="155">
          <cell r="H155">
            <v>1647</v>
          </cell>
        </row>
        <row r="162">
          <cell r="H162">
            <v>2207</v>
          </cell>
        </row>
        <row r="171">
          <cell r="H171">
            <v>3533.25</v>
          </cell>
        </row>
        <row r="174">
          <cell r="H174">
            <v>2133.4499999999998</v>
          </cell>
        </row>
        <row r="177">
          <cell r="H177">
            <v>0</v>
          </cell>
        </row>
        <row r="179">
          <cell r="H179">
            <v>5667</v>
          </cell>
        </row>
        <row r="186">
          <cell r="H186">
            <v>7594</v>
          </cell>
        </row>
        <row r="194">
          <cell r="I194">
            <v>958.32000000000016</v>
          </cell>
        </row>
        <row r="195">
          <cell r="H195">
            <v>1452.4</v>
          </cell>
        </row>
        <row r="200">
          <cell r="H200">
            <v>20010.95</v>
          </cell>
        </row>
        <row r="203">
          <cell r="H203">
            <v>0</v>
          </cell>
        </row>
        <row r="206">
          <cell r="H206">
            <v>109.28</v>
          </cell>
        </row>
        <row r="208">
          <cell r="H208">
            <v>21573</v>
          </cell>
        </row>
        <row r="215">
          <cell r="H215">
            <v>28907</v>
          </cell>
        </row>
        <row r="224">
          <cell r="H224">
            <v>2347.94</v>
          </cell>
        </row>
        <row r="227">
          <cell r="H227">
            <v>0</v>
          </cell>
        </row>
        <row r="230">
          <cell r="H230">
            <v>1.44</v>
          </cell>
        </row>
        <row r="232">
          <cell r="H232">
            <v>2349</v>
          </cell>
        </row>
        <row r="239">
          <cell r="H239">
            <v>3148</v>
          </cell>
        </row>
        <row r="248">
          <cell r="I248">
            <v>284</v>
          </cell>
        </row>
        <row r="249">
          <cell r="H249">
            <v>2904.8</v>
          </cell>
        </row>
        <row r="253">
          <cell r="H253">
            <v>1578.15</v>
          </cell>
        </row>
        <row r="256">
          <cell r="H256">
            <v>0</v>
          </cell>
        </row>
        <row r="259">
          <cell r="H259">
            <v>330.24</v>
          </cell>
        </row>
        <row r="261">
          <cell r="H261">
            <v>4813</v>
          </cell>
        </row>
        <row r="268">
          <cell r="H268">
            <v>6449</v>
          </cell>
        </row>
        <row r="301">
          <cell r="I301">
            <v>6112.1297996863386</v>
          </cell>
        </row>
        <row r="302">
          <cell r="H302">
            <v>23274</v>
          </cell>
        </row>
        <row r="305">
          <cell r="H305">
            <v>179.45</v>
          </cell>
        </row>
        <row r="310">
          <cell r="H310">
            <v>23453</v>
          </cell>
        </row>
        <row r="317">
          <cell r="H317">
            <v>31426</v>
          </cell>
        </row>
        <row r="326">
          <cell r="I326">
            <v>3617.0295896079242</v>
          </cell>
        </row>
        <row r="327">
          <cell r="H327">
            <v>29092.5</v>
          </cell>
        </row>
        <row r="330">
          <cell r="H330">
            <v>459.17</v>
          </cell>
        </row>
        <row r="333">
          <cell r="H333">
            <v>0</v>
          </cell>
        </row>
        <row r="335">
          <cell r="H335">
            <v>29552</v>
          </cell>
        </row>
        <row r="342">
          <cell r="H342">
            <v>39598</v>
          </cell>
        </row>
        <row r="354">
          <cell r="H354">
            <v>1676.5</v>
          </cell>
        </row>
        <row r="356">
          <cell r="I356">
            <v>4016.246047790893</v>
          </cell>
        </row>
        <row r="357">
          <cell r="H357">
            <v>11619.2</v>
          </cell>
        </row>
        <row r="361">
          <cell r="H361">
            <v>5893.15</v>
          </cell>
        </row>
        <row r="366">
          <cell r="H366">
            <v>19189</v>
          </cell>
        </row>
        <row r="373">
          <cell r="H373">
            <v>25712</v>
          </cell>
        </row>
        <row r="384">
          <cell r="H384">
            <v>34556.300000000003</v>
          </cell>
        </row>
        <row r="386">
          <cell r="I386">
            <v>1639.9818</v>
          </cell>
        </row>
        <row r="387">
          <cell r="H387">
            <v>29048</v>
          </cell>
        </row>
        <row r="392">
          <cell r="H392">
            <v>15133.75</v>
          </cell>
        </row>
        <row r="395">
          <cell r="H395">
            <v>0</v>
          </cell>
        </row>
        <row r="398">
          <cell r="H398">
            <v>106.82</v>
          </cell>
        </row>
        <row r="400">
          <cell r="H400">
            <v>78845</v>
          </cell>
        </row>
        <row r="407">
          <cell r="H407">
            <v>105648</v>
          </cell>
        </row>
        <row r="416">
          <cell r="H416">
            <v>94250</v>
          </cell>
        </row>
        <row r="418">
          <cell r="I418">
            <v>920.98907999999994</v>
          </cell>
        </row>
        <row r="419">
          <cell r="H419">
            <v>13071.6</v>
          </cell>
        </row>
        <row r="425">
          <cell r="H425">
            <v>24537.850000000002</v>
          </cell>
        </row>
        <row r="428">
          <cell r="H428">
            <v>0</v>
          </cell>
        </row>
        <row r="431">
          <cell r="H431">
            <v>293.41000000000003</v>
          </cell>
        </row>
        <row r="433">
          <cell r="H433">
            <v>132153</v>
          </cell>
        </row>
        <row r="440">
          <cell r="H440">
            <v>177078</v>
          </cell>
        </row>
        <row r="448">
          <cell r="I448">
            <v>2817.9</v>
          </cell>
        </row>
        <row r="449">
          <cell r="H449">
            <v>3631</v>
          </cell>
        </row>
        <row r="453">
          <cell r="H453">
            <v>16074.05</v>
          </cell>
        </row>
        <row r="456">
          <cell r="H456">
            <v>0</v>
          </cell>
        </row>
        <row r="459">
          <cell r="H459">
            <v>342.84</v>
          </cell>
        </row>
        <row r="461">
          <cell r="H461">
            <v>20048</v>
          </cell>
        </row>
        <row r="468">
          <cell r="H468">
            <v>26863</v>
          </cell>
        </row>
        <row r="478">
          <cell r="H478">
            <v>35227.5</v>
          </cell>
        </row>
        <row r="480">
          <cell r="I480">
            <v>546.66059999999993</v>
          </cell>
        </row>
        <row r="481">
          <cell r="H481">
            <v>14524</v>
          </cell>
        </row>
        <row r="484">
          <cell r="H484">
            <v>1104.45</v>
          </cell>
        </row>
        <row r="487">
          <cell r="H487">
            <v>0</v>
          </cell>
        </row>
        <row r="490">
          <cell r="H490">
            <v>78.67</v>
          </cell>
        </row>
        <row r="492">
          <cell r="H492">
            <v>50935</v>
          </cell>
        </row>
        <row r="499">
          <cell r="H499">
            <v>68250</v>
          </cell>
        </row>
        <row r="508">
          <cell r="I508">
            <v>1391.6</v>
          </cell>
        </row>
        <row r="509">
          <cell r="H509">
            <v>7116.76</v>
          </cell>
        </row>
        <row r="512">
          <cell r="H512">
            <v>164.65</v>
          </cell>
        </row>
        <row r="517">
          <cell r="H517">
            <v>7281</v>
          </cell>
        </row>
        <row r="524">
          <cell r="H524">
            <v>9756</v>
          </cell>
        </row>
        <row r="616">
          <cell r="H616">
            <v>1808</v>
          </cell>
        </row>
        <row r="618">
          <cell r="I618">
            <v>39.300000000000004</v>
          </cell>
        </row>
        <row r="619">
          <cell r="H619">
            <v>19026.439999999999</v>
          </cell>
        </row>
        <row r="623">
          <cell r="H623">
            <v>3552.9</v>
          </cell>
        </row>
        <row r="626">
          <cell r="H626">
            <v>0</v>
          </cell>
        </row>
        <row r="629">
          <cell r="H629">
            <v>117.98</v>
          </cell>
        </row>
        <row r="631">
          <cell r="H631">
            <v>24505</v>
          </cell>
        </row>
        <row r="638">
          <cell r="H638">
            <v>32835</v>
          </cell>
        </row>
        <row r="649">
          <cell r="H649">
            <v>1808</v>
          </cell>
        </row>
        <row r="651">
          <cell r="I651">
            <v>3.93</v>
          </cell>
        </row>
        <row r="652">
          <cell r="H652">
            <v>28539.66</v>
          </cell>
        </row>
        <row r="656">
          <cell r="H656">
            <v>3549.2</v>
          </cell>
        </row>
        <row r="659">
          <cell r="H659">
            <v>73.010000000000005</v>
          </cell>
        </row>
        <row r="661">
          <cell r="H661">
            <v>33970</v>
          </cell>
        </row>
        <row r="668">
          <cell r="H668">
            <v>45518</v>
          </cell>
        </row>
        <row r="677">
          <cell r="H677">
            <v>284.87</v>
          </cell>
        </row>
        <row r="679">
          <cell r="I679">
            <v>98.4</v>
          </cell>
        </row>
        <row r="680">
          <cell r="H680">
            <v>8243.2000000000007</v>
          </cell>
        </row>
        <row r="683">
          <cell r="H683">
            <v>923.15</v>
          </cell>
        </row>
        <row r="686">
          <cell r="H686">
            <v>0</v>
          </cell>
        </row>
        <row r="688">
          <cell r="H688">
            <v>9451</v>
          </cell>
        </row>
        <row r="695">
          <cell r="H695">
            <v>12664</v>
          </cell>
        </row>
        <row r="705">
          <cell r="H705">
            <v>227.9</v>
          </cell>
        </row>
        <row r="707">
          <cell r="I707">
            <v>840</v>
          </cell>
        </row>
        <row r="708">
          <cell r="H708">
            <v>6182.4</v>
          </cell>
        </row>
        <row r="711">
          <cell r="H711">
            <v>364.45</v>
          </cell>
        </row>
        <row r="714">
          <cell r="H714">
            <v>0</v>
          </cell>
        </row>
        <row r="716">
          <cell r="H716">
            <v>6775</v>
          </cell>
        </row>
        <row r="723">
          <cell r="H723">
            <v>9078</v>
          </cell>
        </row>
        <row r="733">
          <cell r="H733">
            <v>227.9</v>
          </cell>
        </row>
        <row r="735">
          <cell r="I735">
            <v>344.11599999999999</v>
          </cell>
        </row>
        <row r="736">
          <cell r="H736">
            <v>4121.6000000000004</v>
          </cell>
        </row>
        <row r="739">
          <cell r="H739">
            <v>555</v>
          </cell>
        </row>
        <row r="742">
          <cell r="H742">
            <v>0</v>
          </cell>
        </row>
        <row r="744">
          <cell r="H744">
            <v>4905</v>
          </cell>
        </row>
        <row r="751">
          <cell r="H751">
            <v>6572</v>
          </cell>
        </row>
        <row r="780">
          <cell r="C780" t="str">
            <v>INSTALACIÓN Y PUESTA EN MARCHA DE MACROMEDIDOR 8" FULL BORE, BRIDADO ANSI 150, PROTOCOLO HART ERROR MÁXIMO 0.2%, TOTALIZADORES INDEPENDIENTE, IP68, 24 VDC, AUTO DIAGNÓSTICO Y CALIBRACIÓN HEARBEAT</v>
          </cell>
        </row>
        <row r="919">
          <cell r="I919">
            <v>2</v>
          </cell>
        </row>
        <row r="946">
          <cell r="H946">
            <v>157838</v>
          </cell>
        </row>
        <row r="950">
          <cell r="H950">
            <v>28923.200000000001</v>
          </cell>
        </row>
        <row r="951">
          <cell r="I951">
            <v>0.8</v>
          </cell>
        </row>
        <row r="953">
          <cell r="H953">
            <v>3700</v>
          </cell>
        </row>
        <row r="956">
          <cell r="H956">
            <v>565.33000000000004</v>
          </cell>
        </row>
        <row r="958">
          <cell r="H958">
            <v>191027</v>
          </cell>
        </row>
        <row r="965">
          <cell r="H965">
            <v>255967</v>
          </cell>
        </row>
        <row r="978">
          <cell r="H978">
            <v>278302</v>
          </cell>
        </row>
        <row r="981">
          <cell r="H981">
            <v>8243.2000000000007</v>
          </cell>
          <cell r="I981">
            <v>4</v>
          </cell>
        </row>
        <row r="984">
          <cell r="H984">
            <v>1485.55</v>
          </cell>
        </row>
        <row r="987">
          <cell r="H987">
            <v>0</v>
          </cell>
        </row>
        <row r="990">
          <cell r="H990">
            <v>767.41</v>
          </cell>
        </row>
        <row r="992">
          <cell r="H992">
            <v>288798</v>
          </cell>
        </row>
        <row r="999">
          <cell r="H999">
            <v>386975</v>
          </cell>
        </row>
        <row r="1008">
          <cell r="H1008">
            <v>106200</v>
          </cell>
        </row>
        <row r="1011">
          <cell r="H1011">
            <v>41216</v>
          </cell>
          <cell r="I1011">
            <v>20</v>
          </cell>
        </row>
        <row r="1014">
          <cell r="H1014">
            <v>2778.7</v>
          </cell>
        </row>
        <row r="1017">
          <cell r="H1017">
            <v>0</v>
          </cell>
        </row>
        <row r="1020">
          <cell r="H1020">
            <v>1829.65</v>
          </cell>
        </row>
        <row r="1022">
          <cell r="H1022">
            <v>152024</v>
          </cell>
        </row>
        <row r="1029">
          <cell r="H1029">
            <v>203705</v>
          </cell>
        </row>
        <row r="1038">
          <cell r="H1038">
            <v>304500</v>
          </cell>
        </row>
        <row r="1041">
          <cell r="H1041">
            <v>41216</v>
          </cell>
        </row>
        <row r="1043">
          <cell r="I1043">
            <v>5.2</v>
          </cell>
        </row>
        <row r="1044">
          <cell r="H1044">
            <v>5553.7</v>
          </cell>
        </row>
        <row r="1047">
          <cell r="H1047">
            <v>0</v>
          </cell>
        </row>
        <row r="1050">
          <cell r="H1050">
            <v>544.79999999999995</v>
          </cell>
        </row>
        <row r="1052">
          <cell r="H1052">
            <v>351815</v>
          </cell>
        </row>
        <row r="1059">
          <cell r="H1059">
            <v>471415</v>
          </cell>
        </row>
        <row r="1070">
          <cell r="H1070">
            <v>101359</v>
          </cell>
        </row>
        <row r="1073">
          <cell r="H1073">
            <v>8243.2000000000007</v>
          </cell>
        </row>
        <row r="1076">
          <cell r="H1076">
            <v>370</v>
          </cell>
        </row>
        <row r="1079">
          <cell r="H1079">
            <v>1695.31</v>
          </cell>
        </row>
        <row r="1081">
          <cell r="H1081">
            <v>111668</v>
          </cell>
        </row>
        <row r="1088">
          <cell r="H1088">
            <v>149630</v>
          </cell>
        </row>
        <row r="1104">
          <cell r="I1104">
            <v>3.3</v>
          </cell>
        </row>
        <row r="1131">
          <cell r="H1131">
            <v>46432.85</v>
          </cell>
        </row>
        <row r="1134">
          <cell r="H1134">
            <v>3091.2</v>
          </cell>
          <cell r="I1134">
            <v>69</v>
          </cell>
        </row>
        <row r="1137">
          <cell r="H1137">
            <v>86.95</v>
          </cell>
        </row>
        <row r="1140">
          <cell r="H1140">
            <v>0</v>
          </cell>
        </row>
        <row r="1143">
          <cell r="H1143">
            <v>1695.31</v>
          </cell>
        </row>
        <row r="1145">
          <cell r="H1145">
            <v>51306</v>
          </cell>
        </row>
        <row r="1152">
          <cell r="H1152">
            <v>68747</v>
          </cell>
        </row>
        <row r="1161">
          <cell r="H1161">
            <v>408320</v>
          </cell>
        </row>
        <row r="1164">
          <cell r="H1164">
            <v>61824</v>
          </cell>
        </row>
        <row r="1167">
          <cell r="H1167">
            <v>7394.45</v>
          </cell>
          <cell r="I1167">
            <v>12.4</v>
          </cell>
        </row>
        <row r="1170">
          <cell r="H1170">
            <v>0</v>
          </cell>
        </row>
        <row r="1173">
          <cell r="H1173">
            <v>1923.6</v>
          </cell>
        </row>
        <row r="1175">
          <cell r="H1175">
            <v>479462</v>
          </cell>
        </row>
        <row r="1182">
          <cell r="H1182">
            <v>642455</v>
          </cell>
        </row>
        <row r="1194">
          <cell r="H1194">
            <v>90515</v>
          </cell>
          <cell r="I1194">
            <v>77</v>
          </cell>
        </row>
        <row r="1197">
          <cell r="H1197">
            <v>8243.2000000000007</v>
          </cell>
        </row>
        <row r="1200">
          <cell r="H1200">
            <v>370</v>
          </cell>
        </row>
        <row r="1203">
          <cell r="H1203">
            <v>388.68</v>
          </cell>
        </row>
        <row r="1205">
          <cell r="H1205">
            <v>99517</v>
          </cell>
        </row>
        <row r="1212">
          <cell r="H1212">
            <v>133348</v>
          </cell>
        </row>
        <row r="1221">
          <cell r="H1221">
            <v>1918280</v>
          </cell>
        </row>
        <row r="1224">
          <cell r="H1224">
            <v>199339</v>
          </cell>
          <cell r="I1224">
            <v>2.5</v>
          </cell>
        </row>
        <row r="1227">
          <cell r="H1227">
            <v>555</v>
          </cell>
        </row>
        <row r="1230">
          <cell r="H1230">
            <v>0</v>
          </cell>
        </row>
        <row r="1233">
          <cell r="H1233">
            <v>1820.5</v>
          </cell>
        </row>
        <row r="1235">
          <cell r="H1235">
            <v>2119995</v>
          </cell>
        </row>
        <row r="1242">
          <cell r="H1242">
            <v>2840687</v>
          </cell>
        </row>
        <row r="1251">
          <cell r="H1251">
            <v>443412</v>
          </cell>
        </row>
        <row r="1254">
          <cell r="H1254">
            <v>71192.5</v>
          </cell>
        </row>
        <row r="1256">
          <cell r="I1256">
            <v>13.5</v>
          </cell>
        </row>
        <row r="1257">
          <cell r="H1257">
            <v>462.5</v>
          </cell>
        </row>
        <row r="1260">
          <cell r="H1260">
            <v>0</v>
          </cell>
        </row>
        <row r="1263">
          <cell r="H1263">
            <v>661.55</v>
          </cell>
        </row>
        <row r="1265">
          <cell r="H1265">
            <v>515729</v>
          </cell>
        </row>
        <row r="1272">
          <cell r="H1272">
            <v>691051</v>
          </cell>
        </row>
        <row r="1283">
          <cell r="H1283">
            <v>176569.95</v>
          </cell>
        </row>
        <row r="1286">
          <cell r="H1286">
            <v>14238.5</v>
          </cell>
        </row>
        <row r="1288">
          <cell r="I1288">
            <v>11</v>
          </cell>
        </row>
        <row r="1289">
          <cell r="H1289">
            <v>185</v>
          </cell>
        </row>
        <row r="1292">
          <cell r="H1292">
            <v>0</v>
          </cell>
        </row>
        <row r="1295">
          <cell r="H1295">
            <v>388.68</v>
          </cell>
        </row>
        <row r="1297">
          <cell r="H1297">
            <v>191382</v>
          </cell>
        </row>
        <row r="1304">
          <cell r="H1304">
            <v>256442</v>
          </cell>
        </row>
        <row r="1315">
          <cell r="H1315">
            <v>197453.95</v>
          </cell>
        </row>
        <row r="1318">
          <cell r="H1318">
            <v>14238.5</v>
          </cell>
        </row>
        <row r="1319">
          <cell r="I1319">
            <v>3</v>
          </cell>
        </row>
        <row r="1321">
          <cell r="H1321">
            <v>185</v>
          </cell>
        </row>
        <row r="1324">
          <cell r="H1324">
            <v>0</v>
          </cell>
        </row>
        <row r="1327">
          <cell r="H1327">
            <v>1204.56</v>
          </cell>
        </row>
        <row r="1329">
          <cell r="H1329">
            <v>213082</v>
          </cell>
        </row>
        <row r="1336">
          <cell r="H1336">
            <v>285519</v>
          </cell>
        </row>
        <row r="1346">
          <cell r="H1346">
            <v>103901.95</v>
          </cell>
        </row>
        <row r="1347">
          <cell r="I1347">
            <v>13.4</v>
          </cell>
        </row>
        <row r="1349">
          <cell r="H1349">
            <v>30912</v>
          </cell>
        </row>
        <row r="1352">
          <cell r="H1352">
            <v>92.5</v>
          </cell>
        </row>
        <row r="1355">
          <cell r="H1355">
            <v>438.65</v>
          </cell>
        </row>
        <row r="1357">
          <cell r="H1357">
            <v>135345</v>
          </cell>
        </row>
        <row r="1364">
          <cell r="H1364">
            <v>181356</v>
          </cell>
        </row>
        <row r="1374">
          <cell r="H1374">
            <v>103158.7</v>
          </cell>
        </row>
        <row r="1377">
          <cell r="H1377">
            <v>4121.6000000000004</v>
          </cell>
          <cell r="I1377">
            <v>25</v>
          </cell>
        </row>
        <row r="1380">
          <cell r="H1380">
            <v>275.64999999999998</v>
          </cell>
        </row>
        <row r="1383">
          <cell r="H1383">
            <v>0</v>
          </cell>
        </row>
        <row r="1386">
          <cell r="H1386">
            <v>1749.47</v>
          </cell>
        </row>
        <row r="1388">
          <cell r="H1388">
            <v>109305</v>
          </cell>
        </row>
        <row r="1395">
          <cell r="H1395">
            <v>146463</v>
          </cell>
        </row>
        <row r="1404">
          <cell r="H1404">
            <v>986000</v>
          </cell>
        </row>
        <row r="1407">
          <cell r="H1407">
            <v>103040</v>
          </cell>
        </row>
        <row r="1410">
          <cell r="H1410">
            <v>11100</v>
          </cell>
          <cell r="I1410">
            <v>4.8000000000000007</v>
          </cell>
        </row>
        <row r="1413">
          <cell r="H1413">
            <v>0</v>
          </cell>
        </row>
        <row r="1416">
          <cell r="H1416">
            <v>2389.21</v>
          </cell>
        </row>
        <row r="1418">
          <cell r="H1418">
            <v>1102529</v>
          </cell>
        </row>
        <row r="1425">
          <cell r="H1425">
            <v>1477334</v>
          </cell>
        </row>
        <row r="1437">
          <cell r="H1437">
            <v>135115</v>
          </cell>
          <cell r="I1437">
            <v>32.5</v>
          </cell>
        </row>
        <row r="1440">
          <cell r="H1440">
            <v>8243.2000000000007</v>
          </cell>
        </row>
        <row r="1443">
          <cell r="H1443">
            <v>370</v>
          </cell>
        </row>
        <row r="1446">
          <cell r="H1446">
            <v>360.29</v>
          </cell>
        </row>
        <row r="1448">
          <cell r="H1448">
            <v>144088</v>
          </cell>
        </row>
        <row r="1455">
          <cell r="H1455">
            <v>193071</v>
          </cell>
        </row>
        <row r="1464">
          <cell r="H1464">
            <v>1017794</v>
          </cell>
        </row>
        <row r="1467">
          <cell r="H1467">
            <v>71192.5</v>
          </cell>
        </row>
        <row r="1468">
          <cell r="I1468">
            <v>0.5</v>
          </cell>
        </row>
        <row r="1470">
          <cell r="H1470">
            <v>462.5</v>
          </cell>
        </row>
        <row r="1473">
          <cell r="H1473">
            <v>0</v>
          </cell>
        </row>
        <row r="1476">
          <cell r="H1476">
            <v>1844.21</v>
          </cell>
        </row>
        <row r="1478">
          <cell r="H1478">
            <v>1091293</v>
          </cell>
        </row>
        <row r="1485">
          <cell r="H1485">
            <v>1462278</v>
          </cell>
        </row>
        <row r="1495">
          <cell r="H1495">
            <v>20894.5</v>
          </cell>
        </row>
        <row r="1496">
          <cell r="I1496">
            <v>1</v>
          </cell>
        </row>
        <row r="1498">
          <cell r="H1498">
            <v>2060.8000000000002</v>
          </cell>
        </row>
        <row r="1501">
          <cell r="H1501">
            <v>185</v>
          </cell>
        </row>
        <row r="1504">
          <cell r="H1504">
            <v>1559.58</v>
          </cell>
        </row>
        <row r="1506">
          <cell r="H1506">
            <v>24700</v>
          </cell>
        </row>
        <row r="1513">
          <cell r="H1513">
            <v>33097</v>
          </cell>
        </row>
        <row r="1523">
          <cell r="H1523">
            <v>252880</v>
          </cell>
          <cell r="I1523">
            <v>22.5</v>
          </cell>
        </row>
        <row r="1526">
          <cell r="H1526">
            <v>10304</v>
          </cell>
        </row>
        <row r="1529">
          <cell r="H1529">
            <v>1850</v>
          </cell>
        </row>
        <row r="1532">
          <cell r="H1532">
            <v>967.35</v>
          </cell>
        </row>
        <row r="1534">
          <cell r="H1534">
            <v>266001</v>
          </cell>
        </row>
        <row r="1541">
          <cell r="H1541">
            <v>356428</v>
          </cell>
        </row>
        <row r="1550">
          <cell r="H1550">
            <v>1017794</v>
          </cell>
        </row>
        <row r="1553">
          <cell r="H1553">
            <v>71192.5</v>
          </cell>
        </row>
        <row r="1556">
          <cell r="H1556">
            <v>462.5</v>
          </cell>
        </row>
        <row r="1557">
          <cell r="I1557">
            <v>2</v>
          </cell>
        </row>
        <row r="1559">
          <cell r="H1559">
            <v>0</v>
          </cell>
        </row>
        <row r="1562">
          <cell r="H1562">
            <v>2788.34</v>
          </cell>
        </row>
        <row r="1564">
          <cell r="H1564">
            <v>1092237</v>
          </cell>
        </row>
        <row r="1571">
          <cell r="H1571">
            <v>1463543</v>
          </cell>
        </row>
        <row r="1584">
          <cell r="H1584">
            <v>157838</v>
          </cell>
        </row>
        <row r="1587">
          <cell r="I1587">
            <v>1</v>
          </cell>
        </row>
        <row r="1588">
          <cell r="H1588">
            <v>28923.200000000001</v>
          </cell>
        </row>
        <row r="1591">
          <cell r="H1591">
            <v>3700</v>
          </cell>
        </row>
        <row r="1594">
          <cell r="H1594">
            <v>547.35</v>
          </cell>
        </row>
        <row r="1596">
          <cell r="H1596">
            <v>191009</v>
          </cell>
        </row>
        <row r="1603">
          <cell r="H1603">
            <v>255943</v>
          </cell>
        </row>
        <row r="1614">
          <cell r="H1614">
            <v>269345</v>
          </cell>
        </row>
        <row r="1617">
          <cell r="H1617">
            <v>14238.5</v>
          </cell>
        </row>
        <row r="1620">
          <cell r="H1620">
            <v>925</v>
          </cell>
        </row>
        <row r="1623">
          <cell r="H1623">
            <v>0</v>
          </cell>
        </row>
        <row r="1626">
          <cell r="H1626">
            <v>119.47</v>
          </cell>
        </row>
        <row r="1628">
          <cell r="H1628">
            <v>284628</v>
          </cell>
        </row>
        <row r="1635">
          <cell r="H1635">
            <v>381387</v>
          </cell>
        </row>
        <row r="1649">
          <cell r="I1649">
            <v>3</v>
          </cell>
        </row>
        <row r="1676">
          <cell r="H1676">
            <v>546493</v>
          </cell>
        </row>
        <row r="1679">
          <cell r="H1679">
            <v>85431</v>
          </cell>
        </row>
        <row r="1680">
          <cell r="I1680">
            <v>9</v>
          </cell>
        </row>
        <row r="1682">
          <cell r="H1682">
            <v>185</v>
          </cell>
        </row>
        <row r="1685">
          <cell r="H1685">
            <v>0</v>
          </cell>
        </row>
        <row r="1688">
          <cell r="H1688">
            <v>478.41</v>
          </cell>
        </row>
        <row r="1690">
          <cell r="H1690">
            <v>632587</v>
          </cell>
        </row>
        <row r="1697">
          <cell r="H1697">
            <v>847635</v>
          </cell>
        </row>
        <row r="1707">
          <cell r="H1707">
            <v>76417.95</v>
          </cell>
        </row>
        <row r="1708">
          <cell r="I1708">
            <v>7.5</v>
          </cell>
        </row>
        <row r="1710">
          <cell r="H1710">
            <v>30912</v>
          </cell>
        </row>
        <row r="1713">
          <cell r="H1713">
            <v>92.5</v>
          </cell>
        </row>
        <row r="1716">
          <cell r="H1716">
            <v>1673.85</v>
          </cell>
        </row>
        <row r="1718">
          <cell r="H1718">
            <v>109096</v>
          </cell>
        </row>
        <row r="1725">
          <cell r="H1725">
            <v>146183</v>
          </cell>
        </row>
        <row r="1735">
          <cell r="H1735">
            <v>80427.95</v>
          </cell>
        </row>
        <row r="1737">
          <cell r="I1737">
            <v>1.5</v>
          </cell>
        </row>
        <row r="1738">
          <cell r="H1738">
            <v>30912</v>
          </cell>
        </row>
        <row r="1741">
          <cell r="H1741">
            <v>92.5</v>
          </cell>
        </row>
        <row r="1744">
          <cell r="H1744">
            <v>760.64</v>
          </cell>
        </row>
        <row r="1746">
          <cell r="H1746">
            <v>112193</v>
          </cell>
        </row>
        <row r="1753">
          <cell r="H1753">
            <v>150333</v>
          </cell>
        </row>
        <row r="1764">
          <cell r="H1764">
            <v>103901.95</v>
          </cell>
        </row>
        <row r="1765">
          <cell r="I1765">
            <v>3</v>
          </cell>
        </row>
        <row r="1767">
          <cell r="H1767">
            <v>30912</v>
          </cell>
        </row>
        <row r="1770">
          <cell r="H1770">
            <v>92.5</v>
          </cell>
        </row>
        <row r="1773">
          <cell r="H1773">
            <v>591.59</v>
          </cell>
        </row>
        <row r="1775">
          <cell r="H1775">
            <v>135498</v>
          </cell>
        </row>
        <row r="1782">
          <cell r="H1782">
            <v>181561</v>
          </cell>
        </row>
        <row r="1792">
          <cell r="H1792">
            <v>109888.95</v>
          </cell>
        </row>
        <row r="1793">
          <cell r="I1793">
            <v>5.3999999999999995</v>
          </cell>
        </row>
        <row r="1795">
          <cell r="H1795">
            <v>30912</v>
          </cell>
        </row>
        <row r="1798">
          <cell r="H1798">
            <v>92.5</v>
          </cell>
        </row>
        <row r="1801">
          <cell r="H1801">
            <v>1109.92</v>
          </cell>
        </row>
        <row r="1803">
          <cell r="H1803">
            <v>142003</v>
          </cell>
        </row>
        <row r="1810">
          <cell r="H1810">
            <v>190277</v>
          </cell>
        </row>
        <row r="1820">
          <cell r="H1820">
            <v>53922.8</v>
          </cell>
        </row>
        <row r="1823">
          <cell r="H1823">
            <v>3091.2</v>
          </cell>
          <cell r="I1823">
            <v>35</v>
          </cell>
        </row>
        <row r="1826">
          <cell r="H1826">
            <v>271.95</v>
          </cell>
        </row>
        <row r="1829">
          <cell r="H1829">
            <v>0</v>
          </cell>
        </row>
        <row r="1832">
          <cell r="H1832">
            <v>760.64</v>
          </cell>
        </row>
        <row r="1834">
          <cell r="H1834">
            <v>58047</v>
          </cell>
        </row>
        <row r="1841">
          <cell r="H1841">
            <v>77780</v>
          </cell>
        </row>
        <row r="1850">
          <cell r="H1850">
            <v>501120</v>
          </cell>
        </row>
        <row r="1853">
          <cell r="H1853">
            <v>103040</v>
          </cell>
        </row>
        <row r="1855">
          <cell r="I1855">
            <v>13.600000000000001</v>
          </cell>
        </row>
        <row r="1856">
          <cell r="H1856">
            <v>9620</v>
          </cell>
        </row>
        <row r="1859">
          <cell r="H1859">
            <v>0</v>
          </cell>
        </row>
        <row r="1862">
          <cell r="H1862">
            <v>591.59</v>
          </cell>
        </row>
        <row r="1864">
          <cell r="H1864">
            <v>614372</v>
          </cell>
        </row>
        <row r="1871">
          <cell r="H1871">
            <v>823228</v>
          </cell>
        </row>
        <row r="1882">
          <cell r="H1882">
            <v>63115</v>
          </cell>
          <cell r="I1882">
            <v>30</v>
          </cell>
        </row>
        <row r="1885">
          <cell r="H1885">
            <v>8243.2000000000007</v>
          </cell>
        </row>
        <row r="1888">
          <cell r="H1888">
            <v>370</v>
          </cell>
        </row>
        <row r="1891">
          <cell r="H1891">
            <v>459.02</v>
          </cell>
        </row>
        <row r="1893">
          <cell r="H1893">
            <v>72187</v>
          </cell>
        </row>
        <row r="1900">
          <cell r="H1900">
            <v>96727</v>
          </cell>
        </row>
        <row r="1909">
          <cell r="H1909">
            <v>338167</v>
          </cell>
        </row>
        <row r="1912">
          <cell r="H1912">
            <v>71192.5</v>
          </cell>
          <cell r="I1912">
            <v>0.30000000000000004</v>
          </cell>
        </row>
        <row r="1915">
          <cell r="H1915">
            <v>462.5</v>
          </cell>
        </row>
        <row r="1918">
          <cell r="H1918">
            <v>0</v>
          </cell>
        </row>
        <row r="1921">
          <cell r="H1921">
            <v>850.63</v>
          </cell>
        </row>
        <row r="1923">
          <cell r="H1923">
            <v>410673</v>
          </cell>
        </row>
        <row r="1930">
          <cell r="H1930">
            <v>550281</v>
          </cell>
        </row>
        <row r="1939">
          <cell r="H1939">
            <v>13472</v>
          </cell>
        </row>
        <row r="1942">
          <cell r="H1942">
            <v>2060.8000000000002</v>
          </cell>
          <cell r="I1942">
            <v>12.5</v>
          </cell>
        </row>
        <row r="1945">
          <cell r="H1945">
            <v>185</v>
          </cell>
        </row>
        <row r="1948">
          <cell r="H1948">
            <v>0</v>
          </cell>
        </row>
        <row r="1951">
          <cell r="H1951">
            <v>470.02</v>
          </cell>
        </row>
        <row r="1953">
          <cell r="H1953">
            <v>16188</v>
          </cell>
        </row>
        <row r="1960">
          <cell r="H1960">
            <v>21691</v>
          </cell>
        </row>
        <row r="1969">
          <cell r="H1969">
            <v>454446</v>
          </cell>
        </row>
        <row r="1972">
          <cell r="H1972">
            <v>71192.5</v>
          </cell>
          <cell r="I1972">
            <v>7.5</v>
          </cell>
        </row>
        <row r="1975">
          <cell r="H1975">
            <v>462.5</v>
          </cell>
        </row>
        <row r="1978">
          <cell r="H1978">
            <v>0</v>
          </cell>
        </row>
        <row r="1981">
          <cell r="H1981">
            <v>459.02</v>
          </cell>
        </row>
        <row r="1983">
          <cell r="H1983">
            <v>526560</v>
          </cell>
        </row>
        <row r="1990">
          <cell r="H1990">
            <v>705564</v>
          </cell>
        </row>
        <row r="1995">
          <cell r="I1995">
            <v>2</v>
          </cell>
        </row>
        <row r="1999">
          <cell r="H1999">
            <v>920901</v>
          </cell>
        </row>
        <row r="2002">
          <cell r="H2002">
            <v>71192.5</v>
          </cell>
        </row>
        <row r="2003">
          <cell r="I2003">
            <v>3</v>
          </cell>
        </row>
        <row r="2005">
          <cell r="H2005">
            <v>462.5</v>
          </cell>
        </row>
        <row r="2008">
          <cell r="H2008">
            <v>0</v>
          </cell>
        </row>
        <row r="2011">
          <cell r="H2011">
            <v>1230.9000000000001</v>
          </cell>
        </row>
        <row r="2013">
          <cell r="H2013">
            <v>993787</v>
          </cell>
        </row>
        <row r="2020">
          <cell r="H2020">
            <v>1331625</v>
          </cell>
        </row>
        <row r="2030">
          <cell r="H2030">
            <v>95113.95</v>
          </cell>
        </row>
        <row r="2033">
          <cell r="H2033">
            <v>42715.5</v>
          </cell>
        </row>
        <row r="2036">
          <cell r="H2036">
            <v>185</v>
          </cell>
        </row>
        <row r="2039">
          <cell r="H2039">
            <v>0</v>
          </cell>
        </row>
        <row r="2042">
          <cell r="H2042">
            <v>292.04000000000002</v>
          </cell>
        </row>
        <row r="2044">
          <cell r="H2044">
            <v>138306</v>
          </cell>
        </row>
        <row r="2051">
          <cell r="H2051">
            <v>185323</v>
          </cell>
        </row>
        <row r="2079">
          <cell r="I2079"/>
        </row>
        <row r="2099">
          <cell r="H2099">
            <v>490492.17</v>
          </cell>
        </row>
        <row r="2104">
          <cell r="H2104">
            <v>150356.16</v>
          </cell>
        </row>
        <row r="2108">
          <cell r="H2108">
            <v>10530</v>
          </cell>
        </row>
        <row r="2111">
          <cell r="H2111">
            <v>0</v>
          </cell>
        </row>
        <row r="2114">
          <cell r="H2114">
            <v>634.52</v>
          </cell>
        </row>
        <row r="2116">
          <cell r="H2116">
            <v>652013</v>
          </cell>
        </row>
        <row r="2123">
          <cell r="H2123">
            <v>873665</v>
          </cell>
        </row>
        <row r="2136">
          <cell r="H2136">
            <v>130956.14</v>
          </cell>
        </row>
        <row r="2138">
          <cell r="I2138">
            <v>250</v>
          </cell>
        </row>
        <row r="2140">
          <cell r="H2140">
            <v>68986.320000000007</v>
          </cell>
        </row>
        <row r="2144">
          <cell r="H2144">
            <v>2820.35</v>
          </cell>
        </row>
        <row r="2147">
          <cell r="H2147">
            <v>0</v>
          </cell>
        </row>
        <row r="2150">
          <cell r="H2150">
            <v>1170.42</v>
          </cell>
        </row>
        <row r="2152">
          <cell r="H2152">
            <v>203933</v>
          </cell>
        </row>
        <row r="2159">
          <cell r="H2159">
            <v>273260</v>
          </cell>
        </row>
        <row r="2165">
          <cell r="I2165">
            <v>450</v>
          </cell>
        </row>
        <row r="2168">
          <cell r="H2168">
            <v>28477</v>
          </cell>
        </row>
        <row r="2171">
          <cell r="H2171">
            <v>185</v>
          </cell>
        </row>
        <row r="2174">
          <cell r="H2174">
            <v>0</v>
          </cell>
        </row>
        <row r="2177">
          <cell r="H2177">
            <v>1341.79</v>
          </cell>
        </row>
        <row r="2179">
          <cell r="H2179">
            <v>30004</v>
          </cell>
        </row>
        <row r="2186">
          <cell r="H2186">
            <v>40204</v>
          </cell>
        </row>
        <row r="2192">
          <cell r="I2192">
            <v>15</v>
          </cell>
        </row>
        <row r="2195">
          <cell r="H2195">
            <v>28477</v>
          </cell>
        </row>
        <row r="2198">
          <cell r="H2198">
            <v>181.3</v>
          </cell>
        </row>
        <row r="2201">
          <cell r="H2201">
            <v>0</v>
          </cell>
        </row>
        <row r="2204">
          <cell r="H2204">
            <v>689.54</v>
          </cell>
        </row>
        <row r="2206">
          <cell r="H2206">
            <v>29348</v>
          </cell>
        </row>
        <row r="2213">
          <cell r="H2213">
            <v>39325</v>
          </cell>
        </row>
        <row r="2222">
          <cell r="H2222">
            <v>42715.5</v>
          </cell>
        </row>
        <row r="2223">
          <cell r="I2223">
            <v>142</v>
          </cell>
        </row>
        <row r="2225">
          <cell r="H2225">
            <v>181.3</v>
          </cell>
        </row>
        <row r="2226">
          <cell r="I2226">
            <v>69.58</v>
          </cell>
        </row>
        <row r="2228">
          <cell r="H2228">
            <v>0</v>
          </cell>
        </row>
        <row r="2231">
          <cell r="H2231">
            <v>749.55</v>
          </cell>
        </row>
        <row r="2233">
          <cell r="H2233">
            <v>43646</v>
          </cell>
        </row>
        <row r="2240">
          <cell r="H2240">
            <v>58483</v>
          </cell>
        </row>
        <row r="2250">
          <cell r="H2250">
            <v>22000</v>
          </cell>
        </row>
        <row r="2253">
          <cell r="H2253">
            <v>1452.4</v>
          </cell>
        </row>
        <row r="2256">
          <cell r="H2256">
            <v>181.3</v>
          </cell>
        </row>
        <row r="2259">
          <cell r="H2259">
            <v>0</v>
          </cell>
        </row>
        <row r="2262">
          <cell r="H2262">
            <v>709.01</v>
          </cell>
        </row>
        <row r="2264">
          <cell r="H2264">
            <v>24343</v>
          </cell>
        </row>
        <row r="2271">
          <cell r="H2271">
            <v>32618</v>
          </cell>
        </row>
        <row r="2283">
          <cell r="H2283">
            <v>92848.040000000008</v>
          </cell>
        </row>
        <row r="2286">
          <cell r="H2286">
            <v>24221.5</v>
          </cell>
        </row>
        <row r="2292">
          <cell r="I2292">
            <v>646.09999999999991</v>
          </cell>
        </row>
        <row r="2293">
          <cell r="H2293">
            <v>11360.9</v>
          </cell>
        </row>
        <row r="2296">
          <cell r="H2296">
            <v>0</v>
          </cell>
        </row>
        <row r="2299">
          <cell r="H2299">
            <v>867</v>
          </cell>
        </row>
        <row r="2301">
          <cell r="H2301">
            <v>129297</v>
          </cell>
        </row>
        <row r="2308">
          <cell r="H2308">
            <v>173252</v>
          </cell>
        </row>
        <row r="2319">
          <cell r="H2319">
            <v>36826.699999999997</v>
          </cell>
        </row>
        <row r="2322">
          <cell r="H2322">
            <v>13576.5</v>
          </cell>
          <cell r="I2322">
            <v>13</v>
          </cell>
        </row>
        <row r="2325">
          <cell r="H2325">
            <v>185</v>
          </cell>
        </row>
        <row r="2328">
          <cell r="H2328">
            <v>0</v>
          </cell>
        </row>
        <row r="2331">
          <cell r="H2331">
            <v>797.9</v>
          </cell>
        </row>
        <row r="2333">
          <cell r="H2333">
            <v>51386</v>
          </cell>
        </row>
        <row r="2340">
          <cell r="H2340">
            <v>68855</v>
          </cell>
        </row>
        <row r="2349">
          <cell r="H2349">
            <v>358692</v>
          </cell>
        </row>
        <row r="2352">
          <cell r="H2352">
            <v>19395</v>
          </cell>
        </row>
        <row r="2355">
          <cell r="H2355">
            <v>277.5</v>
          </cell>
        </row>
        <row r="2358">
          <cell r="H2358">
            <v>592.74</v>
          </cell>
        </row>
        <row r="2360">
          <cell r="H2360">
            <v>378957</v>
          </cell>
        </row>
        <row r="2367">
          <cell r="H2367">
            <v>507783</v>
          </cell>
        </row>
        <row r="2369">
          <cell r="C2369" t="str">
            <v xml:space="preserve">PILOTE  EN CONCRETO 3100 PSI </v>
          </cell>
        </row>
        <row r="2396">
          <cell r="C2396" t="str">
            <v>PEDESTAL  EN CONCRETO 3100 PSI INC FOTMALETA</v>
          </cell>
        </row>
        <row r="2529">
          <cell r="I2529">
            <v>79.519399558199993</v>
          </cell>
        </row>
        <row r="2556">
          <cell r="H2556">
            <v>11924.779999999999</v>
          </cell>
        </row>
        <row r="2560">
          <cell r="H2560">
            <v>5997.78</v>
          </cell>
        </row>
        <row r="2571">
          <cell r="H2571">
            <v>3838.6</v>
          </cell>
        </row>
        <row r="2573">
          <cell r="H2573">
            <v>21761</v>
          </cell>
        </row>
        <row r="2580">
          <cell r="H2580">
            <v>29159</v>
          </cell>
        </row>
        <row r="2701">
          <cell r="C2701" t="str">
            <v>MACROMEDIDOR 8" FULL BORE, BRIDADO ANSI 150, PROTOCOLO HART ERROR MÁXIMO 0.2%, TOTALIZADORES INDEPENDIENTE, IP68, 24 VDC, AUTO DIAGNÓSTICO Y CALIBRACIÓN HEARBEAT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66"/>
  <sheetViews>
    <sheetView showGridLines="0" view="pageBreakPreview" topLeftCell="B145" zoomScaleNormal="100" zoomScaleSheetLayoutView="100" workbookViewId="0">
      <selection activeCell="AX149" sqref="AX149"/>
    </sheetView>
  </sheetViews>
  <sheetFormatPr baseColWidth="10" defaultColWidth="11.42578125" defaultRowHeight="15" x14ac:dyDescent="0.25"/>
  <cols>
    <col min="1" max="2" width="9.5703125" customWidth="1"/>
    <col min="3" max="3" width="52" customWidth="1"/>
    <col min="4" max="4" width="7.5703125" customWidth="1"/>
    <col min="5" max="5" width="12.7109375" style="389" customWidth="1"/>
    <col min="6" max="6" width="14.5703125" style="390" customWidth="1"/>
    <col min="7" max="7" width="18.5703125" customWidth="1"/>
    <col min="8" max="8" width="11.42578125" customWidth="1"/>
    <col min="9" max="9" width="11.42578125" hidden="1" customWidth="1"/>
    <col min="10" max="10" width="11.42578125" customWidth="1"/>
    <col min="11" max="14" width="11.42578125" hidden="1" customWidth="1"/>
    <col min="15" max="15" width="14.140625" hidden="1" customWidth="1"/>
    <col min="16" max="16" width="3.28515625" hidden="1" customWidth="1"/>
    <col min="17" max="45" width="11.42578125" hidden="1" customWidth="1"/>
    <col min="46" max="46" width="16.7109375" hidden="1" customWidth="1"/>
    <col min="47" max="48" width="7" hidden="1" customWidth="1"/>
    <col min="49" max="49" width="12.5703125" style="413" bestFit="1" customWidth="1"/>
    <col min="50" max="50" width="12.5703125" style="413" customWidth="1"/>
    <col min="51" max="51" width="17.85546875" style="419" bestFit="1" customWidth="1"/>
    <col min="53" max="53" width="13.42578125" customWidth="1"/>
    <col min="111" max="113" width="0" hidden="1" customWidth="1"/>
  </cols>
  <sheetData>
    <row r="1" spans="1:126" s="26" customFormat="1" ht="12.2" hidden="1" customHeight="1" thickTop="1" x14ac:dyDescent="0.25">
      <c r="A1" s="1" t="s">
        <v>0</v>
      </c>
      <c r="B1" s="2" t="s">
        <v>1</v>
      </c>
      <c r="C1" s="3"/>
      <c r="D1" s="4"/>
      <c r="E1" s="5" t="s">
        <v>2</v>
      </c>
      <c r="F1" s="647" t="e">
        <f>"Duración  Obra    " &amp;#REF! &amp; " Días"</f>
        <v>#REF!</v>
      </c>
      <c r="G1" s="6" t="e">
        <f>#REF!</f>
        <v>#REF!</v>
      </c>
      <c r="H1" s="7" t="s">
        <v>3</v>
      </c>
      <c r="I1" s="7"/>
      <c r="J1" s="7" t="s">
        <v>4</v>
      </c>
      <c r="K1" s="8" t="s">
        <v>5</v>
      </c>
      <c r="L1" s="8" t="s">
        <v>6</v>
      </c>
      <c r="M1" s="7" t="s">
        <v>7</v>
      </c>
      <c r="N1" s="7" t="s">
        <v>8</v>
      </c>
      <c r="O1" s="9" t="s">
        <v>9</v>
      </c>
      <c r="P1" s="10" t="str">
        <f>B2</f>
        <v>CD</v>
      </c>
      <c r="Q1" s="648" t="s">
        <v>10</v>
      </c>
      <c r="R1" s="649"/>
      <c r="S1" s="649"/>
      <c r="T1" s="649"/>
      <c r="U1" s="650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2"/>
      <c r="AG1" s="13" t="s">
        <v>11</v>
      </c>
      <c r="AH1" s="14" t="s">
        <v>12</v>
      </c>
      <c r="AI1" s="15" t="s">
        <v>13</v>
      </c>
      <c r="AJ1" s="15" t="s">
        <v>14</v>
      </c>
      <c r="AK1" s="15" t="s">
        <v>15</v>
      </c>
      <c r="AL1" s="16" t="s">
        <v>16</v>
      </c>
      <c r="AM1" s="17"/>
      <c r="AN1" s="18" t="s">
        <v>17</v>
      </c>
      <c r="AO1" s="18"/>
      <c r="AP1" s="19"/>
      <c r="AQ1" s="20" t="s">
        <v>18</v>
      </c>
      <c r="AR1" s="20"/>
      <c r="AS1" s="21" t="s">
        <v>19</v>
      </c>
      <c r="AT1" s="22" t="e">
        <f>#REF!</f>
        <v>#REF!</v>
      </c>
      <c r="AU1" s="23"/>
      <c r="AV1" s="24"/>
      <c r="AW1" s="410"/>
      <c r="AX1" s="410"/>
      <c r="AY1" s="416"/>
      <c r="AZ1" s="25" t="s">
        <v>20</v>
      </c>
      <c r="BA1" s="621" t="s">
        <v>18</v>
      </c>
      <c r="CA1" s="27"/>
      <c r="CB1" s="28"/>
      <c r="CC1" s="29"/>
      <c r="CD1" s="30"/>
      <c r="CE1" s="31"/>
      <c r="CF1" s="32">
        <f>IF($A$2="CD",CH1,IF($A$2="CT",CI1,"Correg CT"))</f>
        <v>0</v>
      </c>
      <c r="CG1" s="33">
        <f>ROUND(CE1 * CF1,$K$2)</f>
        <v>0</v>
      </c>
      <c r="CH1" s="34"/>
      <c r="CI1" s="35"/>
      <c r="CJ1" s="32">
        <v>1</v>
      </c>
      <c r="CK1" s="32"/>
      <c r="CL1" s="36">
        <f>ROUND(CI1 * CE1,$K$2)</f>
        <v>0</v>
      </c>
      <c r="CM1" s="37">
        <f>ROUND(CH1 * CE1,$K$2)</f>
        <v>0</v>
      </c>
      <c r="CN1" s="38">
        <f>CG1*$O$2</f>
        <v>0</v>
      </c>
      <c r="CO1" s="39"/>
      <c r="CP1" s="40"/>
      <c r="CQ1" s="41"/>
      <c r="CR1" s="41"/>
      <c r="CS1" s="42"/>
      <c r="CT1" s="43">
        <f>CP1+CQ1+CR1+CS1</f>
        <v>0</v>
      </c>
      <c r="CU1" s="44"/>
      <c r="CW1"/>
      <c r="CX1"/>
      <c r="CY1"/>
      <c r="CZ1"/>
      <c r="DA1"/>
      <c r="DB1"/>
      <c r="DC1"/>
      <c r="DD1"/>
      <c r="DE1"/>
      <c r="DF1" s="45"/>
      <c r="DG1" s="46" t="e">
        <f>"CAP. " &amp;#REF! &amp; ": " &amp;#REF!</f>
        <v>#REF!</v>
      </c>
      <c r="DH1" s="47" t="e">
        <f>ROW(#REF!)</f>
        <v>#REF!</v>
      </c>
      <c r="DI1" s="47"/>
      <c r="DJ1" s="47"/>
      <c r="DK1" s="48"/>
      <c r="DL1" s="49"/>
      <c r="DM1"/>
      <c r="DN1"/>
      <c r="DO1" s="50">
        <f>CE1</f>
        <v>0</v>
      </c>
      <c r="DP1" s="51"/>
      <c r="DQ1" s="52">
        <f>DO1+DP1</f>
        <v>0</v>
      </c>
      <c r="DR1" s="53">
        <f>CF1</f>
        <v>0</v>
      </c>
      <c r="DS1" s="54">
        <f>ROUND(DQ1 * DR1,$K$2)</f>
        <v>0</v>
      </c>
      <c r="DT1" s="55"/>
      <c r="DU1" s="56"/>
      <c r="DV1"/>
    </row>
    <row r="2" spans="1:126" s="26" customFormat="1" ht="12.2" hidden="1" customHeight="1" thickBot="1" x14ac:dyDescent="0.3">
      <c r="A2" s="1" t="s">
        <v>8</v>
      </c>
      <c r="B2" s="57" t="str">
        <f>IF($A$2="CD","CD",IF($A$2="CT","CT",""))</f>
        <v>CD</v>
      </c>
      <c r="C2" s="58"/>
      <c r="D2" s="59"/>
      <c r="E2" s="60"/>
      <c r="F2" s="647"/>
      <c r="G2" s="61" t="str">
        <f>IF([3]INSUMOS!J2=1,"CHEQ. INSUMOS","Insumos ok.")</f>
        <v>Insumos ok.</v>
      </c>
      <c r="H2" s="62">
        <v>2</v>
      </c>
      <c r="I2" s="62"/>
      <c r="J2" s="62">
        <v>3</v>
      </c>
      <c r="K2" s="62">
        <f>IF('[3]APUS '!A3=2,2,0)</f>
        <v>0</v>
      </c>
      <c r="L2" s="62"/>
      <c r="M2" s="62"/>
      <c r="N2" s="62"/>
      <c r="O2" s="63">
        <v>1</v>
      </c>
      <c r="P2" s="64"/>
      <c r="Q2" s="651"/>
      <c r="R2" s="652"/>
      <c r="S2" s="652"/>
      <c r="T2" s="652"/>
      <c r="U2" s="65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5"/>
      <c r="AG2" s="13"/>
      <c r="AH2" s="14"/>
      <c r="AI2" s="15"/>
      <c r="AJ2" s="15"/>
      <c r="AK2" s="15"/>
      <c r="AL2" s="16"/>
      <c r="AM2" s="17"/>
      <c r="AN2" s="66"/>
      <c r="AO2" s="66"/>
      <c r="AP2" s="66"/>
      <c r="AQ2" s="66"/>
      <c r="AR2" s="66"/>
      <c r="AS2" s="67"/>
      <c r="AT2" s="66"/>
      <c r="AU2" s="66"/>
      <c r="AV2" s="68"/>
      <c r="AW2" s="411"/>
      <c r="AX2" s="411"/>
      <c r="AY2" s="417"/>
      <c r="AZ2" s="69" t="s">
        <v>21</v>
      </c>
      <c r="BA2" s="621"/>
      <c r="CA2" s="70" t="s">
        <v>22</v>
      </c>
      <c r="CB2" s="70" t="s">
        <v>23</v>
      </c>
      <c r="CC2" s="70" t="s">
        <v>24</v>
      </c>
      <c r="CD2" s="70" t="s">
        <v>25</v>
      </c>
      <c r="CE2" s="70" t="s">
        <v>26</v>
      </c>
      <c r="CF2" s="70" t="s">
        <v>27</v>
      </c>
      <c r="CG2" s="70" t="s">
        <v>28</v>
      </c>
      <c r="CH2" s="70" t="s">
        <v>29</v>
      </c>
      <c r="CI2" s="70" t="s">
        <v>30</v>
      </c>
      <c r="CJ2" s="70" t="s">
        <v>31</v>
      </c>
      <c r="CK2" s="70" t="s">
        <v>32</v>
      </c>
      <c r="CL2" s="70" t="s">
        <v>33</v>
      </c>
      <c r="CM2" s="70" t="s">
        <v>34</v>
      </c>
      <c r="CN2" s="70" t="s">
        <v>35</v>
      </c>
      <c r="CO2" s="70" t="s">
        <v>36</v>
      </c>
      <c r="CP2" s="70" t="s">
        <v>37</v>
      </c>
      <c r="CQ2" s="70" t="s">
        <v>38</v>
      </c>
      <c r="CR2" s="70" t="s">
        <v>39</v>
      </c>
      <c r="CS2" s="70" t="s">
        <v>40</v>
      </c>
      <c r="CT2" s="70" t="s">
        <v>41</v>
      </c>
      <c r="CU2" s="70" t="s">
        <v>42</v>
      </c>
      <c r="CV2" s="70" t="s">
        <v>43</v>
      </c>
      <c r="CW2" s="70" t="s">
        <v>44</v>
      </c>
      <c r="CX2" s="70" t="s">
        <v>45</v>
      </c>
      <c r="CY2" s="70" t="s">
        <v>46</v>
      </c>
      <c r="CZ2" s="70" t="s">
        <v>47</v>
      </c>
      <c r="DA2" s="70" t="s">
        <v>48</v>
      </c>
      <c r="DB2" s="70" t="s">
        <v>49</v>
      </c>
      <c r="DC2" s="70" t="s">
        <v>50</v>
      </c>
      <c r="DD2" s="70" t="s">
        <v>51</v>
      </c>
      <c r="DE2" s="70" t="s">
        <v>52</v>
      </c>
      <c r="DF2" s="70" t="s">
        <v>53</v>
      </c>
      <c r="DG2" s="70" t="s">
        <v>54</v>
      </c>
      <c r="DH2" s="70" t="s">
        <v>55</v>
      </c>
      <c r="DI2" s="70" t="s">
        <v>56</v>
      </c>
      <c r="DJ2" s="70" t="s">
        <v>57</v>
      </c>
      <c r="DK2" s="70" t="s">
        <v>58</v>
      </c>
      <c r="DL2" s="70" t="s">
        <v>59</v>
      </c>
      <c r="DM2" s="70" t="s">
        <v>60</v>
      </c>
      <c r="DN2" s="70" t="s">
        <v>61</v>
      </c>
      <c r="DO2" s="70" t="s">
        <v>62</v>
      </c>
      <c r="DP2" s="70" t="s">
        <v>63</v>
      </c>
      <c r="DQ2" s="70" t="s">
        <v>64</v>
      </c>
      <c r="DR2" s="70" t="s">
        <v>65</v>
      </c>
      <c r="DS2" s="70" t="s">
        <v>66</v>
      </c>
      <c r="DT2" s="70" t="s">
        <v>67</v>
      </c>
      <c r="DU2" s="70" t="s">
        <v>68</v>
      </c>
    </row>
    <row r="3" spans="1:126" s="26" customFormat="1" ht="12.2" hidden="1" customHeight="1" thickTop="1" x14ac:dyDescent="0.25">
      <c r="A3" s="1"/>
      <c r="B3" s="57"/>
      <c r="C3" s="58"/>
      <c r="D3" s="59"/>
      <c r="E3" s="71"/>
      <c r="F3" s="72"/>
      <c r="G3" s="73"/>
      <c r="H3" s="62"/>
      <c r="I3" s="62"/>
      <c r="J3" s="62"/>
      <c r="K3" s="62"/>
      <c r="L3" s="62"/>
      <c r="M3" s="62"/>
      <c r="N3" s="62"/>
      <c r="O3" s="74"/>
      <c r="P3" s="64"/>
      <c r="Q3" s="75"/>
      <c r="R3" s="75"/>
      <c r="S3" s="75"/>
      <c r="T3" s="75"/>
      <c r="U3" s="75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7"/>
      <c r="AG3" s="45"/>
      <c r="AH3" s="46"/>
      <c r="AI3" s="47"/>
      <c r="AJ3" s="47"/>
      <c r="AK3" s="47"/>
      <c r="AL3" s="48"/>
      <c r="AM3" s="49"/>
      <c r="AQ3" s="69"/>
      <c r="AR3" s="78"/>
      <c r="AS3" s="79"/>
      <c r="AV3" s="68"/>
      <c r="AW3" s="411"/>
      <c r="AX3" s="411"/>
      <c r="AY3" s="417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</row>
    <row r="4" spans="1:126" s="26" customFormat="1" ht="12.2" hidden="1" customHeight="1" x14ac:dyDescent="0.25">
      <c r="A4" s="1"/>
      <c r="B4" s="57"/>
      <c r="C4" s="58"/>
      <c r="D4" s="59"/>
      <c r="E4" s="71"/>
      <c r="F4" s="72"/>
      <c r="G4" s="73"/>
      <c r="H4" s="62"/>
      <c r="I4" s="62"/>
      <c r="J4" s="62"/>
      <c r="K4" s="62"/>
      <c r="L4" s="62"/>
      <c r="M4" s="62"/>
      <c r="N4" s="62"/>
      <c r="O4" s="74"/>
      <c r="P4" s="64"/>
      <c r="Q4" s="75"/>
      <c r="R4" s="75"/>
      <c r="S4" s="75"/>
      <c r="T4" s="75"/>
      <c r="U4" s="75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7"/>
      <c r="AG4" s="45"/>
      <c r="AH4" s="46" t="str">
        <f>"CAP. " &amp; $B$4 &amp; ": " &amp; $C$4</f>
        <v xml:space="preserve">CAP. : </v>
      </c>
      <c r="AI4" s="47">
        <f>ROW($B$4)</f>
        <v>4</v>
      </c>
      <c r="AJ4" s="47"/>
      <c r="AK4" s="47"/>
      <c r="AL4" s="48"/>
      <c r="AM4" s="49"/>
      <c r="AQ4" s="69"/>
      <c r="AR4" s="78"/>
      <c r="AS4" s="79"/>
      <c r="AV4" s="68"/>
      <c r="AW4" s="411"/>
      <c r="AX4" s="411"/>
      <c r="AY4" s="417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</row>
    <row r="5" spans="1:126" s="26" customFormat="1" ht="12.2" hidden="1" customHeight="1" x14ac:dyDescent="0.25">
      <c r="A5" s="1"/>
      <c r="B5" s="57"/>
      <c r="C5" s="58"/>
      <c r="D5" s="59"/>
      <c r="E5" s="71"/>
      <c r="F5" s="72"/>
      <c r="G5" s="73"/>
      <c r="H5" s="62"/>
      <c r="I5" s="62"/>
      <c r="J5" s="62"/>
      <c r="K5" s="62"/>
      <c r="L5" s="62"/>
      <c r="M5" s="62"/>
      <c r="N5" s="62"/>
      <c r="O5" s="74"/>
      <c r="P5" s="64"/>
      <c r="Q5" s="75"/>
      <c r="R5" s="75"/>
      <c r="S5" s="75"/>
      <c r="T5" s="75"/>
      <c r="U5" s="75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7"/>
      <c r="AG5" s="45"/>
      <c r="AH5" s="46"/>
      <c r="AI5" s="47"/>
      <c r="AJ5" s="47"/>
      <c r="AK5" s="47"/>
      <c r="AL5" s="48"/>
      <c r="AM5" s="49"/>
      <c r="AQ5" s="69"/>
      <c r="AR5" s="78"/>
      <c r="AS5" s="79"/>
      <c r="AV5" s="68"/>
      <c r="AW5" s="411"/>
      <c r="AX5" s="411"/>
      <c r="AY5" s="417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</row>
    <row r="6" spans="1:126" s="26" customFormat="1" ht="12.2" hidden="1" customHeight="1" thickBot="1" x14ac:dyDescent="0.3">
      <c r="A6" s="1"/>
      <c r="B6" s="57"/>
      <c r="C6" s="58"/>
      <c r="D6" s="59"/>
      <c r="E6" s="71"/>
      <c r="F6" s="72"/>
      <c r="G6" s="73"/>
      <c r="H6" s="62"/>
      <c r="I6" s="62"/>
      <c r="J6" s="62"/>
      <c r="K6" s="62"/>
      <c r="L6" s="62"/>
      <c r="M6" s="62"/>
      <c r="N6" s="62"/>
      <c r="O6" s="74"/>
      <c r="P6" s="64"/>
      <c r="Q6" s="75"/>
      <c r="R6" s="75"/>
      <c r="S6" s="75"/>
      <c r="T6" s="75"/>
      <c r="U6" s="75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7"/>
      <c r="AG6" s="45"/>
      <c r="AH6" s="46"/>
      <c r="AI6" s="47"/>
      <c r="AJ6" s="47"/>
      <c r="AK6" s="47"/>
      <c r="AL6" s="48"/>
      <c r="AM6" s="49"/>
      <c r="AQ6" s="69"/>
      <c r="AR6" s="78"/>
      <c r="AS6" s="79"/>
      <c r="AV6" s="68"/>
      <c r="AW6" s="411"/>
      <c r="AX6" s="411"/>
      <c r="AY6" s="417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</row>
    <row r="7" spans="1:126" s="84" customFormat="1" ht="27.95" customHeight="1" thickTop="1" x14ac:dyDescent="0.25">
      <c r="A7" s="80"/>
      <c r="B7" s="622" t="s">
        <v>69</v>
      </c>
      <c r="C7" s="623"/>
      <c r="D7" s="624"/>
      <c r="E7" s="641" t="s">
        <v>70</v>
      </c>
      <c r="F7" s="642"/>
      <c r="G7" s="643"/>
      <c r="H7" s="81"/>
      <c r="I7" s="100"/>
      <c r="J7" s="81"/>
      <c r="K7" s="81"/>
      <c r="L7" s="81"/>
      <c r="M7" s="81"/>
      <c r="N7" s="81"/>
      <c r="O7" s="81"/>
      <c r="P7" s="81"/>
      <c r="Q7" s="402" t="s">
        <v>71</v>
      </c>
      <c r="R7" s="403"/>
      <c r="S7" s="403"/>
      <c r="T7" s="403"/>
      <c r="U7" s="404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  <c r="AG7" s="45"/>
      <c r="AH7" s="46"/>
      <c r="AI7" s="47"/>
      <c r="AJ7" s="47"/>
      <c r="AK7" s="47"/>
      <c r="AL7" s="48"/>
      <c r="AM7" s="49"/>
      <c r="AP7" s="405" t="s">
        <v>72</v>
      </c>
      <c r="AQ7" s="406"/>
      <c r="AR7" s="406"/>
      <c r="AS7" s="406"/>
      <c r="AT7" s="407"/>
      <c r="AV7" s="85"/>
      <c r="AW7" s="412"/>
      <c r="AX7" s="412"/>
      <c r="AY7" s="418"/>
      <c r="AZ7" s="86"/>
    </row>
    <row r="8" spans="1:126" s="84" customFormat="1" ht="15.6" customHeight="1" thickBot="1" x14ac:dyDescent="0.3">
      <c r="A8" s="80"/>
      <c r="B8" s="625"/>
      <c r="C8" s="626"/>
      <c r="D8" s="627"/>
      <c r="E8" s="644" t="s">
        <v>73</v>
      </c>
      <c r="F8" s="645"/>
      <c r="G8" s="646"/>
      <c r="H8" s="81"/>
      <c r="I8" s="100"/>
      <c r="J8" s="81"/>
      <c r="K8" s="81"/>
      <c r="L8" s="81"/>
      <c r="M8" s="81"/>
      <c r="N8" s="81"/>
      <c r="O8" s="81"/>
      <c r="P8" s="81"/>
      <c r="Q8" s="87" t="s">
        <v>74</v>
      </c>
      <c r="R8" s="88" t="s">
        <v>75</v>
      </c>
      <c r="S8" s="88" t="s">
        <v>76</v>
      </c>
      <c r="T8" s="88" t="s">
        <v>77</v>
      </c>
      <c r="U8" s="89" t="s">
        <v>78</v>
      </c>
      <c r="V8" s="82"/>
      <c r="W8" s="82">
        <v>1</v>
      </c>
      <c r="X8" s="82"/>
      <c r="Y8" s="82"/>
      <c r="Z8" s="82"/>
      <c r="AA8" s="82"/>
      <c r="AB8" s="82"/>
      <c r="AC8" s="82"/>
      <c r="AD8" s="82"/>
      <c r="AE8" s="82"/>
      <c r="AF8" s="83"/>
      <c r="AG8" s="45"/>
      <c r="AH8" s="46"/>
      <c r="AI8" s="47"/>
      <c r="AJ8" s="47"/>
      <c r="AK8" s="47"/>
      <c r="AL8" s="48"/>
      <c r="AM8" s="49"/>
      <c r="AP8" s="90" t="s">
        <v>79</v>
      </c>
      <c r="AQ8" s="91" t="s">
        <v>80</v>
      </c>
      <c r="AR8" s="91" t="s">
        <v>81</v>
      </c>
      <c r="AS8" s="91" t="s">
        <v>82</v>
      </c>
      <c r="AT8" s="92" t="s">
        <v>83</v>
      </c>
      <c r="AV8" s="85"/>
      <c r="AW8" s="412"/>
      <c r="AX8" s="412"/>
      <c r="AY8" s="418"/>
    </row>
    <row r="9" spans="1:126" s="84" customFormat="1" ht="15" customHeight="1" x14ac:dyDescent="0.25">
      <c r="A9" s="80"/>
      <c r="B9" s="628" t="s">
        <v>84</v>
      </c>
      <c r="C9" s="630" t="s">
        <v>85</v>
      </c>
      <c r="D9" s="631"/>
      <c r="E9" s="632"/>
      <c r="F9" s="93" t="s">
        <v>86</v>
      </c>
      <c r="G9" s="94"/>
      <c r="H9" s="95"/>
      <c r="I9" s="95"/>
      <c r="J9" s="95"/>
      <c r="K9" s="95"/>
      <c r="L9" s="95"/>
      <c r="M9" s="95"/>
      <c r="N9" s="95"/>
      <c r="O9" s="95"/>
      <c r="P9" s="95"/>
      <c r="Q9" s="96"/>
      <c r="R9" s="96"/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8"/>
      <c r="AG9" s="45"/>
      <c r="AH9" s="46"/>
      <c r="AI9" s="47"/>
      <c r="AJ9" s="47"/>
      <c r="AK9" s="47"/>
      <c r="AL9" s="48"/>
      <c r="AM9" s="49"/>
      <c r="AV9" s="85"/>
      <c r="AW9" s="412"/>
      <c r="AX9" s="412"/>
      <c r="AY9" s="418"/>
    </row>
    <row r="10" spans="1:126" s="84" customFormat="1" ht="21.2" customHeight="1" thickBot="1" x14ac:dyDescent="0.3">
      <c r="A10" s="80"/>
      <c r="B10" s="629"/>
      <c r="C10" s="633"/>
      <c r="D10" s="634"/>
      <c r="E10" s="635"/>
      <c r="F10" s="408"/>
      <c r="G10" s="409"/>
      <c r="H10" s="99"/>
      <c r="I10" s="99"/>
      <c r="J10" s="99"/>
      <c r="K10" s="99"/>
      <c r="L10" s="99"/>
      <c r="M10" s="99"/>
      <c r="N10" s="99"/>
      <c r="O10" s="99"/>
      <c r="P10" s="99"/>
      <c r="Q10" s="636"/>
      <c r="R10" s="636"/>
      <c r="S10" s="636"/>
      <c r="T10" s="636"/>
      <c r="U10" s="636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  <c r="AG10" s="45"/>
      <c r="AH10" s="46"/>
      <c r="AI10" s="47"/>
      <c r="AJ10" s="47"/>
      <c r="AK10" s="47"/>
      <c r="AL10" s="48"/>
      <c r="AM10" s="49"/>
      <c r="AV10" s="85"/>
      <c r="AW10" s="412"/>
      <c r="AX10" s="412"/>
      <c r="AY10" s="418"/>
    </row>
    <row r="11" spans="1:126" s="84" customFormat="1" ht="20.100000000000001" customHeight="1" thickTop="1" x14ac:dyDescent="0.25">
      <c r="A11" s="80"/>
      <c r="B11" s="103"/>
      <c r="C11" s="104"/>
      <c r="D11" s="105"/>
      <c r="E11" s="106"/>
      <c r="F11" s="107"/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1"/>
      <c r="AG11" s="45"/>
      <c r="AH11" s="46"/>
      <c r="AI11" s="47"/>
      <c r="AJ11" s="47"/>
      <c r="AK11" s="47"/>
      <c r="AL11" s="48"/>
      <c r="AM11" s="49"/>
      <c r="AV11" s="85"/>
      <c r="AW11" s="412"/>
      <c r="AX11" s="412"/>
      <c r="AY11" s="418"/>
    </row>
    <row r="12" spans="1:126" s="84" customFormat="1" ht="15.75" customHeight="1" x14ac:dyDescent="0.25">
      <c r="A12" s="112" t="s">
        <v>87</v>
      </c>
      <c r="B12" s="113" t="s">
        <v>88</v>
      </c>
      <c r="C12" s="113" t="s">
        <v>89</v>
      </c>
      <c r="D12" s="113" t="s">
        <v>90</v>
      </c>
      <c r="E12" s="114" t="s">
        <v>91</v>
      </c>
      <c r="F12" s="115" t="s">
        <v>92</v>
      </c>
      <c r="G12" s="116" t="str">
        <f>IF(O2&gt;1,"VR.  / " &amp;O1,"VR.TOTAL")</f>
        <v>VR.TOTAL</v>
      </c>
      <c r="H12" s="117" t="s">
        <v>93</v>
      </c>
      <c r="I12" s="117"/>
      <c r="J12" s="117" t="s">
        <v>94</v>
      </c>
      <c r="K12" s="117"/>
      <c r="L12" s="117" t="s">
        <v>95</v>
      </c>
      <c r="M12" s="117" t="s">
        <v>96</v>
      </c>
      <c r="N12" s="117" t="s">
        <v>97</v>
      </c>
      <c r="O12" s="118" t="str">
        <f>"Vr.  " &amp; O2 &amp; " " &amp;O1&amp; "S"</f>
        <v>Vr.  1 CASAS</v>
      </c>
      <c r="P12" s="109"/>
      <c r="Q12" s="119" t="s">
        <v>74</v>
      </c>
      <c r="R12" s="119" t="s">
        <v>75</v>
      </c>
      <c r="S12" s="119" t="s">
        <v>76</v>
      </c>
      <c r="T12" s="119" t="s">
        <v>77</v>
      </c>
      <c r="U12" s="120" t="s">
        <v>78</v>
      </c>
      <c r="V12" s="110"/>
      <c r="W12" s="110">
        <v>1</v>
      </c>
      <c r="X12" s="110"/>
      <c r="Y12" s="110"/>
      <c r="Z12" s="110"/>
      <c r="AA12" s="110"/>
      <c r="AB12" s="110"/>
      <c r="AC12" s="110"/>
      <c r="AD12" s="110"/>
      <c r="AE12" s="110"/>
      <c r="AF12" s="111"/>
      <c r="AG12" s="45"/>
      <c r="AH12" s="46"/>
      <c r="AI12" s="47"/>
      <c r="AJ12" s="47"/>
      <c r="AK12" s="47"/>
      <c r="AL12" s="48"/>
      <c r="AM12" s="49"/>
      <c r="AP12" s="121" t="s">
        <v>79</v>
      </c>
      <c r="AQ12" s="121" t="e">
        <v>#REF!</v>
      </c>
      <c r="AR12" s="121" t="s">
        <v>81</v>
      </c>
      <c r="AS12" s="121" t="s">
        <v>82</v>
      </c>
      <c r="AT12" s="121" t="s">
        <v>83</v>
      </c>
      <c r="AV12" s="85"/>
      <c r="AW12" s="412"/>
      <c r="AX12" s="412"/>
      <c r="AY12" s="418"/>
    </row>
    <row r="13" spans="1:126" ht="22.9" customHeight="1" thickBot="1" x14ac:dyDescent="0.3">
      <c r="A13" s="80"/>
      <c r="B13" s="122"/>
      <c r="C13" s="123"/>
      <c r="D13" s="124"/>
      <c r="E13" s="125"/>
      <c r="F13" s="126"/>
      <c r="G13" s="127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1"/>
      <c r="AG13" s="45"/>
      <c r="AH13" s="46"/>
      <c r="AI13" s="47"/>
      <c r="AJ13" s="47"/>
      <c r="AK13" s="47"/>
      <c r="AL13" s="48"/>
      <c r="AM13" s="49"/>
      <c r="AN13" s="84"/>
      <c r="AU13" s="84"/>
      <c r="AV13" s="85"/>
      <c r="AW13" s="412"/>
      <c r="AX13" s="412"/>
    </row>
    <row r="14" spans="1:126" x14ac:dyDescent="0.25">
      <c r="A14" s="128" t="s">
        <v>98</v>
      </c>
      <c r="B14" s="129">
        <v>1</v>
      </c>
      <c r="C14" s="130" t="s">
        <v>99</v>
      </c>
      <c r="D14" s="131"/>
      <c r="E14" s="132"/>
      <c r="F14" s="133"/>
      <c r="G14" s="134">
        <f>SUM(G15:G16)</f>
        <v>7851249</v>
      </c>
      <c r="H14" s="26"/>
      <c r="I14" s="26"/>
      <c r="J14" s="26"/>
      <c r="K14" s="26"/>
      <c r="L14" s="26"/>
      <c r="M14" s="26"/>
      <c r="N14" s="26"/>
      <c r="O14" s="135">
        <f>SUM(O15:O16)</f>
        <v>7851249</v>
      </c>
      <c r="P14" s="44"/>
      <c r="Q14" s="136"/>
      <c r="R14" s="137"/>
      <c r="S14" s="137"/>
      <c r="T14" s="138"/>
      <c r="U14" s="139"/>
      <c r="V14" s="110">
        <f>IF(G14&lt;&gt;"",O14-G14*$O$2,0)</f>
        <v>0</v>
      </c>
      <c r="W14" s="110" t="s">
        <v>100</v>
      </c>
      <c r="X14" s="110"/>
      <c r="Y14" s="110"/>
      <c r="Z14" s="110"/>
      <c r="AA14" s="110"/>
      <c r="AB14" s="110"/>
      <c r="AC14" s="110"/>
      <c r="AD14" s="110"/>
      <c r="AE14" s="110"/>
      <c r="AF14" s="111"/>
      <c r="AG14" s="45"/>
      <c r="AH14" s="46" t="str">
        <f>"CAP. " &amp; $B$14 &amp; ": " &amp; $C$14</f>
        <v>CAP. 1: PRELIMINARES</v>
      </c>
      <c r="AI14" s="47">
        <f>ROW($B$14)</f>
        <v>14</v>
      </c>
      <c r="AJ14" s="47"/>
      <c r="AK14" s="47"/>
      <c r="AL14" s="48"/>
      <c r="AM14" s="49"/>
      <c r="AN14" s="84"/>
      <c r="AP14" s="140"/>
      <c r="AQ14" s="141"/>
      <c r="AR14" s="141"/>
      <c r="AS14" s="141"/>
      <c r="AT14" s="142">
        <f>SUM(AT15:AT16)</f>
        <v>7851249</v>
      </c>
      <c r="AU14" s="84"/>
      <c r="AV14" s="85"/>
      <c r="AW14" s="412"/>
      <c r="AX14" s="412"/>
    </row>
    <row r="15" spans="1:126" x14ac:dyDescent="0.25">
      <c r="A15" s="27" t="s">
        <v>101</v>
      </c>
      <c r="B15" s="28" t="s">
        <v>102</v>
      </c>
      <c r="C15" s="29" t="s">
        <v>103</v>
      </c>
      <c r="D15" s="30" t="s">
        <v>104</v>
      </c>
      <c r="E15" s="143">
        <v>4767</v>
      </c>
      <c r="F15" s="144">
        <v>1647</v>
      </c>
      <c r="G15" s="145">
        <f t="shared" ref="G15" si="0">+ROUND(F15*E15,0)</f>
        <v>7851249</v>
      </c>
      <c r="H15" s="34">
        <f>'[3]APUS '!H155</f>
        <v>1647</v>
      </c>
      <c r="I15" s="34">
        <f>+F15-H15</f>
        <v>0</v>
      </c>
      <c r="J15" s="35">
        <f>'[3]APUS '!H162</f>
        <v>2207</v>
      </c>
      <c r="K15" s="32">
        <v>1</v>
      </c>
      <c r="L15" s="32">
        <f>ROUNDUP(('[3]APUS '!$I$145/8)/$K$15,0)</f>
        <v>12</v>
      </c>
      <c r="M15" s="36">
        <f>ROUND(J15 * E15,$K$2)</f>
        <v>10520769</v>
      </c>
      <c r="N15" s="37">
        <f>ROUND(H15 * E15,$K$2)</f>
        <v>7851249</v>
      </c>
      <c r="O15" s="38">
        <f>G15*$O$2</f>
        <v>7851249</v>
      </c>
      <c r="P15" s="39"/>
      <c r="Q15" s="40"/>
      <c r="R15" s="41">
        <f>ROUND('[3]APUS '!H150*E15,0)</f>
        <v>1754971</v>
      </c>
      <c r="S15" s="41">
        <f>ROUND('[3]APUS '!H147*E15,0)</f>
        <v>4590192</v>
      </c>
      <c r="T15" s="42">
        <f>ROUND('[3]APUS '!H143*E15,0)</f>
        <v>1506372</v>
      </c>
      <c r="U15" s="43">
        <f>Q15+R15+S15+T15</f>
        <v>7851535</v>
      </c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1"/>
      <c r="AG15" s="45"/>
      <c r="AH15" s="46" t="str">
        <f>"CAP. " &amp; $B$14 &amp; ": " &amp; $C$14</f>
        <v>CAP. 1: PRELIMINARES</v>
      </c>
      <c r="AI15" s="47">
        <f>ROW($B$14)</f>
        <v>14</v>
      </c>
      <c r="AJ15" s="47"/>
      <c r="AK15" s="47"/>
      <c r="AL15" s="48"/>
      <c r="AM15" s="49"/>
      <c r="AN15" s="84"/>
      <c r="AP15" s="50">
        <f>E15</f>
        <v>4767</v>
      </c>
      <c r="AQ15" s="51"/>
      <c r="AR15" s="52">
        <f>AP15+AQ15</f>
        <v>4767</v>
      </c>
      <c r="AS15" s="53">
        <f>F15</f>
        <v>1647</v>
      </c>
      <c r="AT15" s="54">
        <f>ROUND(AR15 * AS15,$K$2)</f>
        <v>7851249</v>
      </c>
      <c r="AU15" s="84"/>
      <c r="AV15" s="85"/>
      <c r="AW15" s="412">
        <f>ROUND(F15*1.34,0)</f>
        <v>2207</v>
      </c>
      <c r="AX15" s="412">
        <f>+J15-AW15</f>
        <v>0</v>
      </c>
      <c r="AY15" s="419">
        <f>+ROUND(E15*AW15,0)</f>
        <v>10520769</v>
      </c>
    </row>
    <row r="16" spans="1:126" ht="15.75" thickBot="1" x14ac:dyDescent="0.3">
      <c r="A16" s="146"/>
      <c r="B16" s="147"/>
      <c r="C16" s="29"/>
      <c r="D16" s="30"/>
      <c r="E16" s="148"/>
      <c r="F16" s="144"/>
      <c r="G16" s="33"/>
      <c r="H16" s="149"/>
      <c r="I16" s="34">
        <f t="shared" ref="I16:I79" si="1">+F16-H16</f>
        <v>0</v>
      </c>
      <c r="J16" s="150"/>
      <c r="K16" s="32"/>
      <c r="L16" s="32"/>
      <c r="M16" s="36"/>
      <c r="N16" s="37"/>
      <c r="O16" s="151"/>
      <c r="P16" s="39"/>
      <c r="Q16" s="40"/>
      <c r="R16" s="41"/>
      <c r="S16" s="41"/>
      <c r="T16" s="42"/>
      <c r="U16" s="43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1"/>
      <c r="AG16" s="45"/>
      <c r="AH16" s="46" t="str">
        <f>"CAP. " &amp; $B$14 &amp; ": " &amp; $C$14</f>
        <v>CAP. 1: PRELIMINARES</v>
      </c>
      <c r="AI16" s="47">
        <f>ROW($B$14)</f>
        <v>14</v>
      </c>
      <c r="AJ16" s="47"/>
      <c r="AK16" s="47"/>
      <c r="AL16" s="48"/>
      <c r="AM16" s="49"/>
      <c r="AN16" s="84"/>
      <c r="AP16" s="50">
        <f>E16</f>
        <v>0</v>
      </c>
      <c r="AQ16" s="51"/>
      <c r="AR16" s="52">
        <f>AP16+AQ16</f>
        <v>0</v>
      </c>
      <c r="AS16" s="53">
        <f>F16</f>
        <v>0</v>
      </c>
      <c r="AT16" s="54">
        <f>ROUND(AR16 * AS16,$K$2)</f>
        <v>0</v>
      </c>
      <c r="AU16" s="84"/>
      <c r="AV16" s="85"/>
      <c r="AW16" s="412"/>
      <c r="AX16" s="412"/>
    </row>
    <row r="17" spans="1:51" ht="15.75" thickBot="1" x14ac:dyDescent="0.3">
      <c r="A17" s="152" t="s">
        <v>105</v>
      </c>
      <c r="B17" s="153"/>
      <c r="C17" s="154"/>
      <c r="D17" s="155"/>
      <c r="E17" s="156"/>
      <c r="F17" s="157" t="s">
        <v>364</v>
      </c>
      <c r="G17" s="158">
        <f>SUM(G15:G16)</f>
        <v>7851249</v>
      </c>
      <c r="H17" s="149"/>
      <c r="I17" s="34" t="e">
        <f t="shared" si="1"/>
        <v>#VALUE!</v>
      </c>
      <c r="J17" s="150"/>
      <c r="K17" s="32"/>
      <c r="L17" s="32"/>
      <c r="M17" s="36"/>
      <c r="N17" s="37"/>
      <c r="O17" s="159">
        <f>SUM(O15:O16)</f>
        <v>7851249</v>
      </c>
      <c r="P17" s="39"/>
      <c r="Q17" s="160">
        <f>SUM(Q14:Q16)</f>
        <v>0</v>
      </c>
      <c r="R17" s="161">
        <f>SUM(R14:R16)</f>
        <v>1754971</v>
      </c>
      <c r="S17" s="161">
        <f>SUM(S14:S16)</f>
        <v>4590192</v>
      </c>
      <c r="T17" s="162">
        <f>SUM(T14:T16)</f>
        <v>1506372</v>
      </c>
      <c r="U17" s="163">
        <f>SUM(U14:U16)</f>
        <v>7851535</v>
      </c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1"/>
      <c r="AG17" s="45"/>
      <c r="AH17" s="46" t="str">
        <f>"CAP. " &amp; $B$14 &amp; ": " &amp; $C$14</f>
        <v>CAP. 1: PRELIMINARES</v>
      </c>
      <c r="AI17" s="47">
        <f>ROW($B$14)</f>
        <v>14</v>
      </c>
      <c r="AJ17" s="47"/>
      <c r="AK17" s="47"/>
      <c r="AL17" s="48"/>
      <c r="AM17" s="49"/>
      <c r="AN17" s="84"/>
      <c r="AP17" s="140"/>
      <c r="AQ17" s="141"/>
      <c r="AR17" s="141"/>
      <c r="AS17" s="141"/>
      <c r="AT17" s="142">
        <f>SUM(AT15:AT16)</f>
        <v>7851249</v>
      </c>
      <c r="AU17" s="84"/>
      <c r="AV17" s="85"/>
      <c r="AW17" s="412"/>
      <c r="AX17" s="412"/>
    </row>
    <row r="18" spans="1:51" ht="27.6" customHeight="1" thickBot="1" x14ac:dyDescent="0.3">
      <c r="A18" s="80"/>
      <c r="B18" s="122"/>
      <c r="C18" s="123"/>
      <c r="D18" s="124"/>
      <c r="E18" s="164"/>
      <c r="F18" s="126"/>
      <c r="G18" s="127"/>
      <c r="I18" s="34">
        <f t="shared" si="1"/>
        <v>0</v>
      </c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1"/>
      <c r="AG18" s="45"/>
      <c r="AH18" s="46"/>
      <c r="AI18" s="47"/>
      <c r="AJ18" s="47"/>
      <c r="AK18" s="47"/>
      <c r="AL18" s="48"/>
      <c r="AM18" s="49"/>
      <c r="AN18" s="84"/>
      <c r="AU18" s="84"/>
      <c r="AV18" s="85"/>
      <c r="AW18" s="412"/>
      <c r="AX18" s="412"/>
    </row>
    <row r="19" spans="1:51" x14ac:dyDescent="0.25">
      <c r="A19" s="128" t="s">
        <v>98</v>
      </c>
      <c r="B19" s="129">
        <v>2</v>
      </c>
      <c r="C19" s="130" t="s">
        <v>106</v>
      </c>
      <c r="D19" s="131"/>
      <c r="E19" s="132"/>
      <c r="F19" s="133"/>
      <c r="G19" s="134">
        <f>SUM(G20:G24)</f>
        <v>178871039</v>
      </c>
      <c r="H19" s="26"/>
      <c r="I19" s="34">
        <f t="shared" si="1"/>
        <v>0</v>
      </c>
      <c r="J19" s="26"/>
      <c r="K19" s="26"/>
      <c r="L19" s="26"/>
      <c r="M19" s="26"/>
      <c r="N19" s="26"/>
      <c r="O19" s="135">
        <f>SUM(O20:O24)</f>
        <v>178871039</v>
      </c>
      <c r="P19" s="44"/>
      <c r="Q19" s="136"/>
      <c r="R19" s="137"/>
      <c r="S19" s="137"/>
      <c r="T19" s="138"/>
      <c r="U19" s="139"/>
      <c r="V19" s="110">
        <f>IF(G19&lt;&gt;"",O19-G19*$O$2,0)</f>
        <v>0</v>
      </c>
      <c r="W19" s="110" t="s">
        <v>100</v>
      </c>
      <c r="X19" s="110"/>
      <c r="Y19" s="110"/>
      <c r="Z19" s="110"/>
      <c r="AA19" s="110"/>
      <c r="AB19" s="110"/>
      <c r="AC19" s="110"/>
      <c r="AD19" s="110"/>
      <c r="AE19" s="110"/>
      <c r="AF19" s="111"/>
      <c r="AG19" s="45"/>
      <c r="AH19" s="46" t="str">
        <f t="shared" ref="AH19:AH25" si="2">"CAP. " &amp; $B$19 &amp; ": " &amp; $C$19</f>
        <v>CAP. 2: DEMOLICION LOSAS</v>
      </c>
      <c r="AI19" s="47">
        <f t="shared" ref="AI19:AI25" si="3">ROW($B$19)</f>
        <v>19</v>
      </c>
      <c r="AJ19" s="47"/>
      <c r="AK19" s="47"/>
      <c r="AL19" s="48"/>
      <c r="AM19" s="49"/>
      <c r="AN19" s="84"/>
      <c r="AP19" s="140"/>
      <c r="AQ19" s="141"/>
      <c r="AR19" s="141"/>
      <c r="AS19" s="141"/>
      <c r="AT19" s="142">
        <f>SUM(AT20:AT24)</f>
        <v>178871039</v>
      </c>
      <c r="AU19" s="84"/>
      <c r="AV19" s="85"/>
      <c r="AW19" s="412"/>
      <c r="AX19" s="412"/>
    </row>
    <row r="20" spans="1:51" x14ac:dyDescent="0.25">
      <c r="A20" s="27" t="s">
        <v>107</v>
      </c>
      <c r="B20" s="28" t="s">
        <v>108</v>
      </c>
      <c r="C20" s="29" t="s">
        <v>109</v>
      </c>
      <c r="D20" s="30" t="s">
        <v>104</v>
      </c>
      <c r="E20" s="143">
        <v>10384</v>
      </c>
      <c r="F20" s="144">
        <v>5667</v>
      </c>
      <c r="G20" s="145">
        <f t="shared" ref="G20:G23" si="4">+ROUND(F20*E20,0)</f>
        <v>58846128</v>
      </c>
      <c r="H20" s="34">
        <f>'[3]APUS '!H179</f>
        <v>5667</v>
      </c>
      <c r="I20" s="34">
        <f t="shared" si="1"/>
        <v>0</v>
      </c>
      <c r="J20" s="35">
        <f>'[3]APUS '!H186</f>
        <v>7594</v>
      </c>
      <c r="K20" s="32">
        <v>1</v>
      </c>
      <c r="L20" s="32"/>
      <c r="M20" s="36">
        <f>ROUND(J20 * E20,$K$2)</f>
        <v>78856096</v>
      </c>
      <c r="N20" s="37">
        <f>ROUND(H20 * E20,$K$2)</f>
        <v>58846128</v>
      </c>
      <c r="O20" s="38">
        <f>G20*$O$2</f>
        <v>58846128</v>
      </c>
      <c r="P20" s="39"/>
      <c r="Q20" s="40">
        <f>ROUND('[3]APUS '!H174*E20,0)+ROUND('[3]APUS '!H177*E20,0)</f>
        <v>22153745</v>
      </c>
      <c r="R20" s="41">
        <f>ROUND('[3]APUS '!H171*E20,0)</f>
        <v>36689268</v>
      </c>
      <c r="S20" s="41"/>
      <c r="T20" s="42"/>
      <c r="U20" s="43">
        <f>Q20+R20+S20+T20</f>
        <v>58843013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1"/>
      <c r="AG20" s="45"/>
      <c r="AH20" s="46" t="str">
        <f t="shared" si="2"/>
        <v>CAP. 2: DEMOLICION LOSAS</v>
      </c>
      <c r="AI20" s="47">
        <f t="shared" si="3"/>
        <v>19</v>
      </c>
      <c r="AJ20" s="47"/>
      <c r="AK20" s="47"/>
      <c r="AL20" s="48"/>
      <c r="AM20" s="49"/>
      <c r="AN20" s="84"/>
      <c r="AP20" s="50">
        <f t="shared" ref="AP20:AP24" si="5">E20</f>
        <v>10384</v>
      </c>
      <c r="AQ20" s="51"/>
      <c r="AR20" s="52">
        <f t="shared" ref="AR20:AR24" si="6">AP20+AQ20</f>
        <v>10384</v>
      </c>
      <c r="AS20" s="53">
        <f t="shared" ref="AS20:AS24" si="7">F20</f>
        <v>5667</v>
      </c>
      <c r="AT20" s="54">
        <f t="shared" ref="AT20:AT24" si="8">ROUND(AR20 * AS20,$K$2)</f>
        <v>58846128</v>
      </c>
      <c r="AU20" s="84"/>
      <c r="AV20" s="85"/>
      <c r="AW20" s="412">
        <f t="shared" ref="AW20:AW23" si="9">ROUND(F20*1.34,0)</f>
        <v>7594</v>
      </c>
      <c r="AX20" s="412">
        <f t="shared" ref="AX20:AX23" si="10">+J20-AW20</f>
        <v>0</v>
      </c>
      <c r="AY20" s="419">
        <f t="shared" ref="AY20:AY23" si="11">+ROUND(E20*AW20,0)</f>
        <v>78856096</v>
      </c>
    </row>
    <row r="21" spans="1:51" x14ac:dyDescent="0.25">
      <c r="A21" s="27" t="s">
        <v>110</v>
      </c>
      <c r="B21" s="28" t="s">
        <v>111</v>
      </c>
      <c r="C21" s="29" t="s">
        <v>112</v>
      </c>
      <c r="D21" s="30" t="s">
        <v>113</v>
      </c>
      <c r="E21" s="143">
        <v>4791.6000000000004</v>
      </c>
      <c r="F21" s="144">
        <v>21573</v>
      </c>
      <c r="G21" s="145">
        <f t="shared" si="4"/>
        <v>103369187</v>
      </c>
      <c r="H21" s="34">
        <f>'[3]APUS '!H208</f>
        <v>21573</v>
      </c>
      <c r="I21" s="34">
        <f t="shared" si="1"/>
        <v>0</v>
      </c>
      <c r="J21" s="35">
        <f>'[3]APUS '!H215</f>
        <v>28907</v>
      </c>
      <c r="K21" s="32">
        <v>1</v>
      </c>
      <c r="L21" s="32">
        <f>ROUNDUP(('[3]APUS '!$I$194/8)/$K$21,0)</f>
        <v>120</v>
      </c>
      <c r="M21" s="36">
        <f>ROUND(J21 * E21,$K$2)</f>
        <v>138510781</v>
      </c>
      <c r="N21" s="37">
        <f>ROUND(H21 * E21,$K$2)</f>
        <v>103369187</v>
      </c>
      <c r="O21" s="38">
        <f>G21*$O$2</f>
        <v>103369187</v>
      </c>
      <c r="P21" s="39"/>
      <c r="Q21" s="40">
        <f>ROUND('[3]APUS '!H203*E21,0)+ROUND('[3]APUS '!H206*E21,0)</f>
        <v>523626</v>
      </c>
      <c r="R21" s="41">
        <f>ROUND('[3]APUS '!H200*E21,0)</f>
        <v>95884468</v>
      </c>
      <c r="S21" s="41">
        <f>ROUND('[3]APUS '!H195*E21,0)</f>
        <v>6959320</v>
      </c>
      <c r="T21" s="42"/>
      <c r="U21" s="43">
        <f>Q21+R21+S21+T21</f>
        <v>103367414</v>
      </c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1"/>
      <c r="AG21" s="45"/>
      <c r="AH21" s="46" t="str">
        <f t="shared" si="2"/>
        <v>CAP. 2: DEMOLICION LOSAS</v>
      </c>
      <c r="AI21" s="47">
        <f t="shared" si="3"/>
        <v>19</v>
      </c>
      <c r="AJ21" s="47"/>
      <c r="AK21" s="47"/>
      <c r="AL21" s="48"/>
      <c r="AM21" s="49"/>
      <c r="AN21" s="84"/>
      <c r="AP21" s="50">
        <f t="shared" si="5"/>
        <v>4791.6000000000004</v>
      </c>
      <c r="AQ21" s="51"/>
      <c r="AR21" s="52">
        <f t="shared" si="6"/>
        <v>4791.6000000000004</v>
      </c>
      <c r="AS21" s="53">
        <f t="shared" si="7"/>
        <v>21573</v>
      </c>
      <c r="AT21" s="54">
        <f t="shared" si="8"/>
        <v>103369187</v>
      </c>
      <c r="AU21" s="84"/>
      <c r="AV21" s="85"/>
      <c r="AW21" s="412">
        <f t="shared" si="9"/>
        <v>28908</v>
      </c>
      <c r="AX21" s="412">
        <f t="shared" si="10"/>
        <v>-1</v>
      </c>
      <c r="AY21" s="419">
        <f t="shared" si="11"/>
        <v>138515573</v>
      </c>
    </row>
    <row r="22" spans="1:51" x14ac:dyDescent="0.25">
      <c r="A22" s="27" t="s">
        <v>114</v>
      </c>
      <c r="B22" s="28" t="s">
        <v>115</v>
      </c>
      <c r="C22" s="29" t="s">
        <v>116</v>
      </c>
      <c r="D22" s="30" t="s">
        <v>117</v>
      </c>
      <c r="E22" s="143">
        <v>5635.8</v>
      </c>
      <c r="F22" s="144">
        <v>2349</v>
      </c>
      <c r="G22" s="145">
        <f t="shared" si="4"/>
        <v>13238494</v>
      </c>
      <c r="H22" s="34">
        <f>'[3]APUS '!H461</f>
        <v>20048</v>
      </c>
      <c r="I22" s="34">
        <f t="shared" si="1"/>
        <v>-17699</v>
      </c>
      <c r="J22" s="35">
        <f>'[3]APUS '!H468</f>
        <v>26863</v>
      </c>
      <c r="K22" s="32">
        <v>1</v>
      </c>
      <c r="L22" s="32">
        <f>ROUNDUP(('[3]APUS '!$I$448/8)/$K$22,0)</f>
        <v>353</v>
      </c>
      <c r="M22" s="36">
        <f>ROUND(J22 * E22,$K$2)</f>
        <v>151394495</v>
      </c>
      <c r="N22" s="37">
        <f>ROUND(H22 * E22,$K$2)</f>
        <v>112986518</v>
      </c>
      <c r="O22" s="38">
        <f>G22*$O$2</f>
        <v>13238494</v>
      </c>
      <c r="P22" s="39"/>
      <c r="Q22" s="40">
        <f>ROUND('[3]APUS '!H456*E22,0)+ROUND('[3]APUS '!H459*E22,0)</f>
        <v>1932178</v>
      </c>
      <c r="R22" s="41">
        <f>ROUND('[3]APUS '!H453*E22,0)</f>
        <v>90590131</v>
      </c>
      <c r="S22" s="41">
        <f>ROUND('[3]APUS '!H449*E22,0)</f>
        <v>20463590</v>
      </c>
      <c r="T22" s="42"/>
      <c r="U22" s="43">
        <f>Q22+R22+S22+T22</f>
        <v>112985899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1"/>
      <c r="AG22" s="45"/>
      <c r="AH22" s="46" t="str">
        <f t="shared" si="2"/>
        <v>CAP. 2: DEMOLICION LOSAS</v>
      </c>
      <c r="AI22" s="47">
        <f t="shared" si="3"/>
        <v>19</v>
      </c>
      <c r="AJ22" s="47"/>
      <c r="AK22" s="47"/>
      <c r="AL22" s="48"/>
      <c r="AM22" s="49"/>
      <c r="AN22" s="84"/>
      <c r="AP22" s="50">
        <f t="shared" si="5"/>
        <v>5635.8</v>
      </c>
      <c r="AQ22" s="51"/>
      <c r="AR22" s="52">
        <f t="shared" si="6"/>
        <v>5635.8</v>
      </c>
      <c r="AS22" s="53">
        <f t="shared" si="7"/>
        <v>2349</v>
      </c>
      <c r="AT22" s="54">
        <f t="shared" si="8"/>
        <v>13238494</v>
      </c>
      <c r="AU22" s="84"/>
      <c r="AV22" s="85"/>
      <c r="AW22" s="412">
        <f t="shared" si="9"/>
        <v>3148</v>
      </c>
      <c r="AX22" s="412">
        <f t="shared" si="10"/>
        <v>23715</v>
      </c>
      <c r="AY22" s="419">
        <f t="shared" si="11"/>
        <v>17741498</v>
      </c>
    </row>
    <row r="23" spans="1:51" x14ac:dyDescent="0.25">
      <c r="A23" s="27" t="s">
        <v>118</v>
      </c>
      <c r="B23" s="28" t="s">
        <v>119</v>
      </c>
      <c r="C23" s="29" t="s">
        <v>120</v>
      </c>
      <c r="D23" s="30" t="s">
        <v>113</v>
      </c>
      <c r="E23" s="143">
        <v>710</v>
      </c>
      <c r="F23" s="144">
        <v>4813</v>
      </c>
      <c r="G23" s="145">
        <f t="shared" si="4"/>
        <v>3417230</v>
      </c>
      <c r="H23" s="34">
        <f>'[3]APUS '!H261</f>
        <v>4813</v>
      </c>
      <c r="I23" s="34">
        <f t="shared" si="1"/>
        <v>0</v>
      </c>
      <c r="J23" s="35">
        <f>'[3]APUS '!H268</f>
        <v>6449</v>
      </c>
      <c r="K23" s="32">
        <v>1</v>
      </c>
      <c r="L23" s="32">
        <f>ROUNDUP(('[3]APUS '!$I$248/8)/$K$23,0)</f>
        <v>36</v>
      </c>
      <c r="M23" s="36">
        <f>ROUND(J23 * E23,$K$2)</f>
        <v>4578790</v>
      </c>
      <c r="N23" s="37">
        <f>ROUND(H23 * E23,$K$2)</f>
        <v>3417230</v>
      </c>
      <c r="O23" s="38">
        <f>G23*$O$2</f>
        <v>3417230</v>
      </c>
      <c r="P23" s="39"/>
      <c r="Q23" s="40">
        <f>ROUND('[3]APUS '!H256*E23,0)+ROUND('[3]APUS '!H259*E23,0)</f>
        <v>234470</v>
      </c>
      <c r="R23" s="41">
        <f>ROUND('[3]APUS '!H253*E23,0)</f>
        <v>1120487</v>
      </c>
      <c r="S23" s="41">
        <f>ROUND('[3]APUS '!H249*E23,0)</f>
        <v>2062408</v>
      </c>
      <c r="T23" s="42"/>
      <c r="U23" s="43">
        <f>Q23+R23+S23+T23</f>
        <v>3417365</v>
      </c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1"/>
      <c r="AG23" s="45"/>
      <c r="AH23" s="46" t="str">
        <f t="shared" si="2"/>
        <v>CAP. 2: DEMOLICION LOSAS</v>
      </c>
      <c r="AI23" s="47">
        <f t="shared" si="3"/>
        <v>19</v>
      </c>
      <c r="AJ23" s="47"/>
      <c r="AK23" s="47"/>
      <c r="AL23" s="48"/>
      <c r="AM23" s="49"/>
      <c r="AN23" s="84"/>
      <c r="AP23" s="50">
        <f t="shared" si="5"/>
        <v>710</v>
      </c>
      <c r="AQ23" s="51"/>
      <c r="AR23" s="52">
        <f t="shared" si="6"/>
        <v>710</v>
      </c>
      <c r="AS23" s="53">
        <f t="shared" si="7"/>
        <v>4813</v>
      </c>
      <c r="AT23" s="54">
        <f t="shared" si="8"/>
        <v>3417230</v>
      </c>
      <c r="AU23" s="84"/>
      <c r="AV23" s="85"/>
      <c r="AW23" s="412">
        <f t="shared" si="9"/>
        <v>6449</v>
      </c>
      <c r="AX23" s="412">
        <f t="shared" si="10"/>
        <v>0</v>
      </c>
      <c r="AY23" s="419">
        <f t="shared" si="11"/>
        <v>4578790</v>
      </c>
    </row>
    <row r="24" spans="1:51" ht="15.75" thickBot="1" x14ac:dyDescent="0.3">
      <c r="A24" s="146"/>
      <c r="B24" s="147"/>
      <c r="C24" s="29"/>
      <c r="D24" s="30"/>
      <c r="E24" s="148"/>
      <c r="F24" s="144"/>
      <c r="G24" s="33"/>
      <c r="H24" s="165"/>
      <c r="I24" s="34">
        <f t="shared" si="1"/>
        <v>0</v>
      </c>
      <c r="J24" s="32"/>
      <c r="K24" s="32"/>
      <c r="L24" s="32"/>
      <c r="M24" s="36"/>
      <c r="N24" s="37"/>
      <c r="O24" s="151"/>
      <c r="P24" s="39"/>
      <c r="Q24" s="40"/>
      <c r="R24" s="41"/>
      <c r="S24" s="41"/>
      <c r="T24" s="42"/>
      <c r="U24" s="43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1"/>
      <c r="AG24" s="45"/>
      <c r="AH24" s="46" t="str">
        <f t="shared" si="2"/>
        <v>CAP. 2: DEMOLICION LOSAS</v>
      </c>
      <c r="AI24" s="47">
        <f t="shared" si="3"/>
        <v>19</v>
      </c>
      <c r="AJ24" s="47"/>
      <c r="AK24" s="47"/>
      <c r="AL24" s="48"/>
      <c r="AM24" s="49"/>
      <c r="AN24" s="84"/>
      <c r="AP24" s="50">
        <f t="shared" si="5"/>
        <v>0</v>
      </c>
      <c r="AQ24" s="51"/>
      <c r="AR24" s="52">
        <f t="shared" si="6"/>
        <v>0</v>
      </c>
      <c r="AS24" s="53">
        <f t="shared" si="7"/>
        <v>0</v>
      </c>
      <c r="AT24" s="54">
        <f t="shared" si="8"/>
        <v>0</v>
      </c>
      <c r="AU24" s="84"/>
      <c r="AV24" s="85"/>
      <c r="AW24" s="412"/>
      <c r="AX24" s="412"/>
    </row>
    <row r="25" spans="1:51" ht="15.75" thickBot="1" x14ac:dyDescent="0.3">
      <c r="A25" s="152" t="s">
        <v>105</v>
      </c>
      <c r="B25" s="153"/>
      <c r="C25" s="154"/>
      <c r="D25" s="155"/>
      <c r="E25" s="156"/>
      <c r="F25" s="157" t="s">
        <v>365</v>
      </c>
      <c r="G25" s="158">
        <f>SUM(G20:G24)</f>
        <v>178871039</v>
      </c>
      <c r="H25" s="165"/>
      <c r="I25" s="34" t="e">
        <f t="shared" si="1"/>
        <v>#VALUE!</v>
      </c>
      <c r="J25" s="32"/>
      <c r="K25" s="32"/>
      <c r="L25" s="32"/>
      <c r="M25" s="36"/>
      <c r="N25" s="37"/>
      <c r="O25" s="159">
        <f>SUM(O20:O24)</f>
        <v>178871039</v>
      </c>
      <c r="P25" s="39"/>
      <c r="Q25" s="160">
        <f>SUM(Q19:Q24)</f>
        <v>24844019</v>
      </c>
      <c r="R25" s="161">
        <f>SUM(R19:R24)</f>
        <v>224284354</v>
      </c>
      <c r="S25" s="161">
        <f>SUM(S19:S24)</f>
        <v>29485318</v>
      </c>
      <c r="T25" s="162">
        <f>SUM(T19:T24)</f>
        <v>0</v>
      </c>
      <c r="U25" s="163">
        <f>SUM(U19:U24)</f>
        <v>278613691</v>
      </c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1"/>
      <c r="AG25" s="45"/>
      <c r="AH25" s="46" t="str">
        <f t="shared" si="2"/>
        <v>CAP. 2: DEMOLICION LOSAS</v>
      </c>
      <c r="AI25" s="47">
        <f t="shared" si="3"/>
        <v>19</v>
      </c>
      <c r="AJ25" s="47"/>
      <c r="AK25" s="47"/>
      <c r="AL25" s="48"/>
      <c r="AM25" s="49"/>
      <c r="AN25" s="84"/>
      <c r="AP25" s="140"/>
      <c r="AQ25" s="141"/>
      <c r="AR25" s="141"/>
      <c r="AS25" s="141"/>
      <c r="AT25" s="142">
        <f>SUM(AT20:AT24)</f>
        <v>178871039</v>
      </c>
      <c r="AU25" s="84"/>
      <c r="AV25" s="85"/>
      <c r="AW25" s="412"/>
      <c r="AX25" s="412"/>
    </row>
    <row r="26" spans="1:51" ht="23.1" customHeight="1" thickBot="1" x14ac:dyDescent="0.3">
      <c r="A26" s="80"/>
      <c r="B26" s="122"/>
      <c r="C26" s="123"/>
      <c r="D26" s="124"/>
      <c r="E26" s="164"/>
      <c r="F26" s="126"/>
      <c r="G26" s="127"/>
      <c r="I26" s="34">
        <f t="shared" si="1"/>
        <v>0</v>
      </c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1"/>
      <c r="AG26" s="45"/>
      <c r="AH26" s="46"/>
      <c r="AI26" s="47"/>
      <c r="AJ26" s="47"/>
      <c r="AK26" s="47"/>
      <c r="AL26" s="48"/>
      <c r="AM26" s="49"/>
      <c r="AN26" s="84"/>
      <c r="AU26" s="84"/>
      <c r="AV26" s="85"/>
      <c r="AW26" s="412"/>
      <c r="AX26" s="412"/>
    </row>
    <row r="27" spans="1:51" x14ac:dyDescent="0.25">
      <c r="A27" s="128" t="s">
        <v>98</v>
      </c>
      <c r="B27" s="129">
        <v>3</v>
      </c>
      <c r="C27" s="130" t="s">
        <v>121</v>
      </c>
      <c r="D27" s="131"/>
      <c r="E27" s="132"/>
      <c r="F27" s="133"/>
      <c r="G27" s="134">
        <f>SUM(G28:G38)</f>
        <v>678571686</v>
      </c>
      <c r="H27" s="26"/>
      <c r="I27" s="34">
        <f t="shared" si="1"/>
        <v>0</v>
      </c>
      <c r="J27" s="26"/>
      <c r="K27" s="26"/>
      <c r="L27" s="26"/>
      <c r="M27" s="26"/>
      <c r="N27" s="26"/>
      <c r="O27" s="135">
        <f>SUM(O28:O38)</f>
        <v>658361728</v>
      </c>
      <c r="P27" s="44"/>
      <c r="Q27" s="136"/>
      <c r="R27" s="137"/>
      <c r="S27" s="137"/>
      <c r="T27" s="138"/>
      <c r="U27" s="139"/>
      <c r="V27" s="110">
        <f>IF(G27&lt;&gt;"",O27-G27*$O$2,0)</f>
        <v>-20209958</v>
      </c>
      <c r="W27" s="110" t="s">
        <v>100</v>
      </c>
      <c r="X27" s="110"/>
      <c r="Y27" s="110"/>
      <c r="Z27" s="110"/>
      <c r="AA27" s="110"/>
      <c r="AB27" s="110"/>
      <c r="AC27" s="110"/>
      <c r="AD27" s="110"/>
      <c r="AE27" s="110"/>
      <c r="AF27" s="111"/>
      <c r="AG27" s="45"/>
      <c r="AH27" s="46" t="str">
        <f t="shared" ref="AH27:AH39" si="12">"CAP. " &amp; $B$27 &amp; ": " &amp; $C$27</f>
        <v>CAP. 3: MOVIMIENTOS DE TIERRAS</v>
      </c>
      <c r="AI27" s="47">
        <f t="shared" ref="AI27:AI39" si="13">ROW($B$27)</f>
        <v>27</v>
      </c>
      <c r="AJ27" s="47"/>
      <c r="AK27" s="47"/>
      <c r="AL27" s="48"/>
      <c r="AM27" s="49"/>
      <c r="AN27" s="84"/>
      <c r="AP27" s="140"/>
      <c r="AQ27" s="141"/>
      <c r="AR27" s="141"/>
      <c r="AS27" s="141"/>
      <c r="AT27" s="142">
        <f>SUM(AT28:AT38)</f>
        <v>658361728</v>
      </c>
      <c r="AU27" s="84"/>
      <c r="AV27" s="85"/>
      <c r="AW27" s="412"/>
      <c r="AX27" s="412"/>
    </row>
    <row r="28" spans="1:51" x14ac:dyDescent="0.25">
      <c r="A28" s="27" t="s">
        <v>122</v>
      </c>
      <c r="B28" s="28" t="s">
        <v>123</v>
      </c>
      <c r="C28" s="29" t="s">
        <v>124</v>
      </c>
      <c r="D28" s="30" t="s">
        <v>125</v>
      </c>
      <c r="E28" s="143">
        <v>5093.4414997386157</v>
      </c>
      <c r="F28" s="144">
        <v>23453</v>
      </c>
      <c r="G28" s="145">
        <f t="shared" ref="G28:G37" si="14">+ROUND(F28*E28,0)</f>
        <v>119456483</v>
      </c>
      <c r="H28" s="34">
        <f>'[3]APUS '!H310</f>
        <v>23453</v>
      </c>
      <c r="I28" s="34">
        <f t="shared" si="1"/>
        <v>0</v>
      </c>
      <c r="J28" s="35">
        <f>'[3]APUS '!H317</f>
        <v>31426</v>
      </c>
      <c r="K28" s="32">
        <v>1</v>
      </c>
      <c r="L28" s="32">
        <f>ROUNDUP(('[3]APUS '!$I$301/8)/$K$28,0)</f>
        <v>765</v>
      </c>
      <c r="M28" s="36">
        <f t="shared" ref="M28:M36" si="15">ROUND(J28 * E28,$K$2)</f>
        <v>160066493</v>
      </c>
      <c r="N28" s="37">
        <f t="shared" ref="N28:N36" si="16">ROUND(H28 * E28,$K$2)</f>
        <v>119456483</v>
      </c>
      <c r="O28" s="38">
        <f t="shared" ref="O28:O36" si="17">G28*$O$2</f>
        <v>119456483</v>
      </c>
      <c r="P28" s="39"/>
      <c r="Q28" s="40"/>
      <c r="R28" s="41">
        <f>ROUND('[3]APUS '!H305*E28,0)</f>
        <v>914018</v>
      </c>
      <c r="S28" s="41">
        <f>ROUND('[3]APUS '!H302*E28,0)</f>
        <v>118544757</v>
      </c>
      <c r="T28" s="42"/>
      <c r="U28" s="43">
        <f t="shared" ref="U28:U36" si="18">Q28+R28+S28+T28</f>
        <v>119458775</v>
      </c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  <c r="AG28" s="45"/>
      <c r="AH28" s="46" t="str">
        <f t="shared" si="12"/>
        <v>CAP. 3: MOVIMIENTOS DE TIERRAS</v>
      </c>
      <c r="AI28" s="47">
        <f t="shared" si="13"/>
        <v>27</v>
      </c>
      <c r="AJ28" s="47"/>
      <c r="AK28" s="47"/>
      <c r="AL28" s="48"/>
      <c r="AM28" s="49"/>
      <c r="AN28" s="84"/>
      <c r="AP28" s="50">
        <f t="shared" ref="AP28:AP38" si="19">E28</f>
        <v>5093.4414997386157</v>
      </c>
      <c r="AQ28" s="51"/>
      <c r="AR28" s="52">
        <f t="shared" ref="AR28:AR38" si="20">AP28+AQ28</f>
        <v>5093.4414997386157</v>
      </c>
      <c r="AS28" s="53">
        <f t="shared" ref="AS28:AS38" si="21">F28</f>
        <v>23453</v>
      </c>
      <c r="AT28" s="54">
        <f t="shared" ref="AT28:AT38" si="22">ROUND(AR28 * AS28,$K$2)</f>
        <v>119456483</v>
      </c>
      <c r="AU28" s="84"/>
      <c r="AV28" s="85"/>
      <c r="AW28" s="412">
        <f t="shared" ref="AW28:AW37" si="23">ROUND(F28*1.34,0)</f>
        <v>31427</v>
      </c>
      <c r="AX28" s="412">
        <f t="shared" ref="AX28:AX37" si="24">+J28-AW28</f>
        <v>-1</v>
      </c>
      <c r="AY28" s="419">
        <f t="shared" ref="AY28:AY37" si="25">+ROUND(E28*AW28,0)</f>
        <v>160071586</v>
      </c>
    </row>
    <row r="29" spans="1:51" x14ac:dyDescent="0.25">
      <c r="A29" s="27" t="s">
        <v>126</v>
      </c>
      <c r="B29" s="28" t="s">
        <v>127</v>
      </c>
      <c r="C29" s="29" t="s">
        <v>128</v>
      </c>
      <c r="D29" s="30" t="s">
        <v>125</v>
      </c>
      <c r="E29" s="143">
        <v>2411.3530597386161</v>
      </c>
      <c r="F29" s="144">
        <v>29552</v>
      </c>
      <c r="G29" s="145">
        <f t="shared" si="14"/>
        <v>71260306</v>
      </c>
      <c r="H29" s="34">
        <f>'[3]APUS '!H335</f>
        <v>29552</v>
      </c>
      <c r="I29" s="34">
        <f t="shared" si="1"/>
        <v>0</v>
      </c>
      <c r="J29" s="35">
        <f>'[3]APUS '!H342</f>
        <v>39598</v>
      </c>
      <c r="K29" s="32">
        <v>1</v>
      </c>
      <c r="L29" s="32">
        <f>ROUNDUP(('[3]APUS '!$I$326/8)/$K$29,0)</f>
        <v>453</v>
      </c>
      <c r="M29" s="36">
        <f t="shared" si="15"/>
        <v>95484758</v>
      </c>
      <c r="N29" s="37">
        <f t="shared" si="16"/>
        <v>71260306</v>
      </c>
      <c r="O29" s="38">
        <f t="shared" si="17"/>
        <v>71260306</v>
      </c>
      <c r="P29" s="39"/>
      <c r="Q29" s="40">
        <f>ROUND('[3]APUS '!H333*E29,0)</f>
        <v>0</v>
      </c>
      <c r="R29" s="41">
        <f>ROUND('[3]APUS '!H330*E29,0)</f>
        <v>1107221</v>
      </c>
      <c r="S29" s="41">
        <f>ROUND('[3]APUS '!H327*E29,0)</f>
        <v>70152289</v>
      </c>
      <c r="T29" s="42"/>
      <c r="U29" s="43">
        <f>Q29+R29+S29+T29</f>
        <v>71259510</v>
      </c>
      <c r="V29" s="44"/>
      <c r="W29" s="26"/>
      <c r="AG29" s="45"/>
      <c r="AH29" s="46" t="str">
        <f t="shared" si="12"/>
        <v>CAP. 3: MOVIMIENTOS DE TIERRAS</v>
      </c>
      <c r="AI29" s="47">
        <f t="shared" si="13"/>
        <v>27</v>
      </c>
      <c r="AJ29" s="47"/>
      <c r="AK29" s="47"/>
      <c r="AL29" s="48"/>
      <c r="AM29" s="49"/>
      <c r="AP29" s="50">
        <f t="shared" si="19"/>
        <v>2411.3530597386161</v>
      </c>
      <c r="AQ29" s="51"/>
      <c r="AR29" s="52">
        <f>AP29+AQ29</f>
        <v>2411.3530597386161</v>
      </c>
      <c r="AS29" s="53">
        <f t="shared" si="21"/>
        <v>29552</v>
      </c>
      <c r="AT29" s="54">
        <f t="shared" si="22"/>
        <v>71260306</v>
      </c>
      <c r="AU29" s="55"/>
      <c r="AV29" s="56"/>
      <c r="AW29" s="412">
        <f t="shared" si="23"/>
        <v>39600</v>
      </c>
      <c r="AX29" s="412">
        <f t="shared" si="24"/>
        <v>-2</v>
      </c>
      <c r="AY29" s="419">
        <f t="shared" si="25"/>
        <v>95489581</v>
      </c>
    </row>
    <row r="30" spans="1:51" x14ac:dyDescent="0.25">
      <c r="A30" s="27"/>
      <c r="B30" s="28" t="s">
        <v>129</v>
      </c>
      <c r="C30" s="29" t="s">
        <v>130</v>
      </c>
      <c r="D30" s="30" t="s">
        <v>125</v>
      </c>
      <c r="E30" s="143">
        <v>1851.8888197386159</v>
      </c>
      <c r="F30" s="144">
        <v>9514</v>
      </c>
      <c r="G30" s="145">
        <f t="shared" si="14"/>
        <v>17618870</v>
      </c>
      <c r="H30" s="34"/>
      <c r="I30" s="34">
        <f t="shared" si="1"/>
        <v>9514</v>
      </c>
      <c r="J30" s="35"/>
      <c r="K30" s="32"/>
      <c r="L30" s="32"/>
      <c r="M30" s="36"/>
      <c r="N30" s="37"/>
      <c r="O30" s="38"/>
      <c r="P30" s="39"/>
      <c r="Q30" s="40"/>
      <c r="R30" s="41"/>
      <c r="S30" s="41"/>
      <c r="T30" s="42"/>
      <c r="U30" s="43"/>
      <c r="V30" s="44"/>
      <c r="W30" s="26"/>
      <c r="AG30" s="45"/>
      <c r="AH30" s="46"/>
      <c r="AI30" s="47"/>
      <c r="AJ30" s="47"/>
      <c r="AK30" s="47"/>
      <c r="AL30" s="48"/>
      <c r="AM30" s="49"/>
      <c r="AP30" s="50"/>
      <c r="AQ30" s="51"/>
      <c r="AR30" s="52"/>
      <c r="AS30" s="53"/>
      <c r="AT30" s="54"/>
      <c r="AU30" s="166"/>
      <c r="AV30" s="56"/>
      <c r="AW30" s="412">
        <f t="shared" si="23"/>
        <v>12749</v>
      </c>
      <c r="AX30" s="412">
        <f t="shared" si="24"/>
        <v>-12749</v>
      </c>
      <c r="AY30" s="419">
        <f t="shared" si="25"/>
        <v>23609731</v>
      </c>
    </row>
    <row r="31" spans="1:51" x14ac:dyDescent="0.25">
      <c r="A31" s="27" t="s">
        <v>131</v>
      </c>
      <c r="B31" s="28" t="s">
        <v>132</v>
      </c>
      <c r="C31" s="29" t="s">
        <v>133</v>
      </c>
      <c r="D31" s="30" t="s">
        <v>125</v>
      </c>
      <c r="E31" s="143">
        <v>5020.307559738616</v>
      </c>
      <c r="F31" s="144">
        <v>19189</v>
      </c>
      <c r="G31" s="145">
        <f t="shared" si="14"/>
        <v>96334682</v>
      </c>
      <c r="H31" s="34">
        <f>'[3]APUS '!H366</f>
        <v>19189</v>
      </c>
      <c r="I31" s="34">
        <f t="shared" si="1"/>
        <v>0</v>
      </c>
      <c r="J31" s="35">
        <f>'[3]APUS '!H373</f>
        <v>25712</v>
      </c>
      <c r="K31" s="32">
        <v>1</v>
      </c>
      <c r="L31" s="32">
        <f>ROUNDUP(('[3]APUS '!$I$356/8)/$K$31,0)</f>
        <v>503</v>
      </c>
      <c r="M31" s="36">
        <f t="shared" si="15"/>
        <v>129082148</v>
      </c>
      <c r="N31" s="37">
        <f t="shared" si="16"/>
        <v>96334682</v>
      </c>
      <c r="O31" s="38">
        <f t="shared" si="17"/>
        <v>96334682</v>
      </c>
      <c r="P31" s="39"/>
      <c r="Q31" s="40"/>
      <c r="R31" s="41">
        <f>ROUND('[3]APUS '!H361*E31,0)</f>
        <v>29585425</v>
      </c>
      <c r="S31" s="41">
        <f>ROUND('[3]APUS '!H357*E31,0)</f>
        <v>58331958</v>
      </c>
      <c r="T31" s="42">
        <f>ROUND('[3]APUS '!H354*E31,0)</f>
        <v>8416546</v>
      </c>
      <c r="U31" s="43">
        <f t="shared" si="18"/>
        <v>96333929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1"/>
      <c r="AG31" s="45"/>
      <c r="AH31" s="46" t="str">
        <f t="shared" si="12"/>
        <v>CAP. 3: MOVIMIENTOS DE TIERRAS</v>
      </c>
      <c r="AI31" s="47">
        <f t="shared" si="13"/>
        <v>27</v>
      </c>
      <c r="AJ31" s="47"/>
      <c r="AK31" s="47"/>
      <c r="AL31" s="48"/>
      <c r="AM31" s="49"/>
      <c r="AN31" s="84"/>
      <c r="AP31" s="50">
        <f t="shared" si="19"/>
        <v>5020.307559738616</v>
      </c>
      <c r="AQ31" s="51"/>
      <c r="AR31" s="52">
        <f t="shared" si="20"/>
        <v>5020.307559738616</v>
      </c>
      <c r="AS31" s="53">
        <f t="shared" si="21"/>
        <v>19189</v>
      </c>
      <c r="AT31" s="54">
        <f t="shared" si="22"/>
        <v>96334682</v>
      </c>
      <c r="AU31" s="84"/>
      <c r="AV31" s="85"/>
      <c r="AW31" s="412">
        <f t="shared" si="23"/>
        <v>25713</v>
      </c>
      <c r="AX31" s="412">
        <f t="shared" si="24"/>
        <v>-1</v>
      </c>
      <c r="AY31" s="419">
        <f t="shared" si="25"/>
        <v>129087168</v>
      </c>
    </row>
    <row r="32" spans="1:51" ht="19.149999999999999" customHeight="1" x14ac:dyDescent="0.25">
      <c r="A32" s="27" t="s">
        <v>134</v>
      </c>
      <c r="B32" s="28" t="s">
        <v>135</v>
      </c>
      <c r="C32" s="29" t="s">
        <v>136</v>
      </c>
      <c r="D32" s="30" t="s">
        <v>125</v>
      </c>
      <c r="E32" s="143">
        <v>819.99090000000001</v>
      </c>
      <c r="F32" s="144">
        <v>78845</v>
      </c>
      <c r="G32" s="145">
        <f t="shared" si="14"/>
        <v>64652183</v>
      </c>
      <c r="H32" s="34">
        <f>'[3]APUS '!H400</f>
        <v>78845</v>
      </c>
      <c r="I32" s="34">
        <f t="shared" si="1"/>
        <v>0</v>
      </c>
      <c r="J32" s="35">
        <f>'[3]APUS '!H407</f>
        <v>105648</v>
      </c>
      <c r="K32" s="32">
        <v>1</v>
      </c>
      <c r="L32" s="32">
        <f>ROUNDUP(('[3]APUS '!$I$386/8)/$K$32,0)</f>
        <v>205</v>
      </c>
      <c r="M32" s="36">
        <f t="shared" si="15"/>
        <v>86630399</v>
      </c>
      <c r="N32" s="37">
        <f t="shared" si="16"/>
        <v>64652183</v>
      </c>
      <c r="O32" s="38">
        <f t="shared" si="17"/>
        <v>64652183</v>
      </c>
      <c r="P32" s="39"/>
      <c r="Q32" s="40">
        <f>ROUND('[3]APUS '!H395*E32,0)+ROUND('[3]APUS '!H398*E32,0)</f>
        <v>87591</v>
      </c>
      <c r="R32" s="41">
        <f>ROUND('[3]APUS '!H392*E32,0)</f>
        <v>12409537</v>
      </c>
      <c r="S32" s="41">
        <f>ROUND('[3]APUS '!H387*E32,0)</f>
        <v>23819096</v>
      </c>
      <c r="T32" s="42">
        <f>ROUND('[3]APUS '!H384*E32,0)</f>
        <v>28335852</v>
      </c>
      <c r="U32" s="43">
        <f t="shared" si="18"/>
        <v>64652076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1"/>
      <c r="AG32" s="45"/>
      <c r="AH32" s="46" t="str">
        <f t="shared" si="12"/>
        <v>CAP. 3: MOVIMIENTOS DE TIERRAS</v>
      </c>
      <c r="AI32" s="47">
        <f t="shared" si="13"/>
        <v>27</v>
      </c>
      <c r="AJ32" s="47"/>
      <c r="AK32" s="47"/>
      <c r="AL32" s="48"/>
      <c r="AM32" s="49"/>
      <c r="AN32" s="84"/>
      <c r="AP32" s="50">
        <f t="shared" si="19"/>
        <v>819.99090000000001</v>
      </c>
      <c r="AQ32" s="51"/>
      <c r="AR32" s="52">
        <f t="shared" si="20"/>
        <v>819.99090000000001</v>
      </c>
      <c r="AS32" s="53">
        <f t="shared" si="21"/>
        <v>78845</v>
      </c>
      <c r="AT32" s="54">
        <f t="shared" si="22"/>
        <v>64652183</v>
      </c>
      <c r="AU32" s="84"/>
      <c r="AV32" s="85"/>
      <c r="AW32" s="412">
        <f t="shared" si="23"/>
        <v>105652</v>
      </c>
      <c r="AX32" s="412">
        <f t="shared" si="24"/>
        <v>-4</v>
      </c>
      <c r="AY32" s="419">
        <f t="shared" si="25"/>
        <v>86633679</v>
      </c>
    </row>
    <row r="33" spans="1:51" x14ac:dyDescent="0.25">
      <c r="A33" s="27" t="s">
        <v>137</v>
      </c>
      <c r="B33" s="28" t="s">
        <v>138</v>
      </c>
      <c r="C33" s="29" t="s">
        <v>139</v>
      </c>
      <c r="D33" s="30" t="s">
        <v>125</v>
      </c>
      <c r="E33" s="143">
        <v>1534.9818</v>
      </c>
      <c r="F33" s="144">
        <v>132153</v>
      </c>
      <c r="G33" s="145">
        <f t="shared" si="14"/>
        <v>202852450</v>
      </c>
      <c r="H33" s="34">
        <f>'[3]APUS '!H433</f>
        <v>132153</v>
      </c>
      <c r="I33" s="34">
        <f t="shared" si="1"/>
        <v>0</v>
      </c>
      <c r="J33" s="35">
        <f>'[3]APUS '!H440</f>
        <v>177078</v>
      </c>
      <c r="K33" s="32">
        <v>1</v>
      </c>
      <c r="L33" s="32">
        <f>ROUNDUP(('[3]APUS '!$I$418/8)/$K$33,0)</f>
        <v>116</v>
      </c>
      <c r="M33" s="36">
        <f t="shared" si="15"/>
        <v>271811507</v>
      </c>
      <c r="N33" s="37">
        <f t="shared" si="16"/>
        <v>202852450</v>
      </c>
      <c r="O33" s="38">
        <f t="shared" si="17"/>
        <v>202852450</v>
      </c>
      <c r="P33" s="39"/>
      <c r="Q33" s="40">
        <f>ROUND('[3]APUS '!H428*E33,0)+ROUND('[3]APUS '!H431*E33,0)</f>
        <v>450379</v>
      </c>
      <c r="R33" s="41">
        <f>ROUND('[3]APUS '!H425*E33,0)</f>
        <v>37665153</v>
      </c>
      <c r="S33" s="41">
        <f>ROUND('[3]APUS '!H419*E33,0)</f>
        <v>20064668</v>
      </c>
      <c r="T33" s="42">
        <f>ROUND('[3]APUS '!H416*E33,0)</f>
        <v>144672035</v>
      </c>
      <c r="U33" s="43">
        <f t="shared" si="18"/>
        <v>202852235</v>
      </c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1"/>
      <c r="AG33" s="45"/>
      <c r="AH33" s="46" t="str">
        <f t="shared" si="12"/>
        <v>CAP. 3: MOVIMIENTOS DE TIERRAS</v>
      </c>
      <c r="AI33" s="47">
        <f t="shared" si="13"/>
        <v>27</v>
      </c>
      <c r="AJ33" s="47"/>
      <c r="AK33" s="47"/>
      <c r="AL33" s="48"/>
      <c r="AM33" s="49"/>
      <c r="AN33" s="84"/>
      <c r="AP33" s="50">
        <f t="shared" si="19"/>
        <v>1534.9818</v>
      </c>
      <c r="AQ33" s="51"/>
      <c r="AR33" s="52">
        <f t="shared" si="20"/>
        <v>1534.9818</v>
      </c>
      <c r="AS33" s="53">
        <f t="shared" si="21"/>
        <v>132153</v>
      </c>
      <c r="AT33" s="54">
        <f t="shared" si="22"/>
        <v>202852450</v>
      </c>
      <c r="AU33" s="84"/>
      <c r="AV33" s="85"/>
      <c r="AW33" s="412">
        <f t="shared" si="23"/>
        <v>177085</v>
      </c>
      <c r="AX33" s="412">
        <f t="shared" si="24"/>
        <v>-7</v>
      </c>
      <c r="AY33" s="419">
        <f t="shared" si="25"/>
        <v>271822252</v>
      </c>
    </row>
    <row r="34" spans="1:51" x14ac:dyDescent="0.25">
      <c r="A34" s="27" t="s">
        <v>140</v>
      </c>
      <c r="B34" s="28" t="s">
        <v>141</v>
      </c>
      <c r="C34" s="29" t="str">
        <f>+C22</f>
        <v>CARGUE, RETIRO Y DISPOSICIÓN DE  ESCOMBROS A MAQUINA</v>
      </c>
      <c r="D34" s="30" t="str">
        <f>+D22</f>
        <v>M3-Km</v>
      </c>
      <c r="E34" s="143">
        <v>27936.332999999999</v>
      </c>
      <c r="F34" s="144">
        <v>2349</v>
      </c>
      <c r="G34" s="145">
        <f t="shared" si="14"/>
        <v>65622446</v>
      </c>
      <c r="H34" s="34">
        <f>'[3]APUS '!H232</f>
        <v>2349</v>
      </c>
      <c r="I34" s="34">
        <f t="shared" si="1"/>
        <v>0</v>
      </c>
      <c r="J34" s="35">
        <f>'[3]APUS '!H239</f>
        <v>3148</v>
      </c>
      <c r="K34" s="32">
        <v>1</v>
      </c>
      <c r="L34" s="32"/>
      <c r="M34" s="36">
        <f t="shared" si="15"/>
        <v>87943576</v>
      </c>
      <c r="N34" s="37">
        <f t="shared" si="16"/>
        <v>65622446</v>
      </c>
      <c r="O34" s="38">
        <f t="shared" si="17"/>
        <v>65622446</v>
      </c>
      <c r="P34" s="39"/>
      <c r="Q34" s="40">
        <f>ROUND('[3]APUS '!H227*E34,0)+ROUND('[3]APUS '!H230*E34,0)</f>
        <v>40228</v>
      </c>
      <c r="R34" s="41">
        <f>ROUND('[3]APUS '!H224*E34,0)</f>
        <v>65592834</v>
      </c>
      <c r="S34" s="41"/>
      <c r="T34" s="42"/>
      <c r="U34" s="43">
        <f t="shared" si="18"/>
        <v>65633062</v>
      </c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1"/>
      <c r="AG34" s="45"/>
      <c r="AH34" s="46" t="str">
        <f t="shared" si="12"/>
        <v>CAP. 3: MOVIMIENTOS DE TIERRAS</v>
      </c>
      <c r="AI34" s="47">
        <f t="shared" si="13"/>
        <v>27</v>
      </c>
      <c r="AJ34" s="47"/>
      <c r="AK34" s="47"/>
      <c r="AL34" s="48"/>
      <c r="AM34" s="49"/>
      <c r="AN34" s="84"/>
      <c r="AP34" s="50">
        <f t="shared" si="19"/>
        <v>27936.332999999999</v>
      </c>
      <c r="AQ34" s="51"/>
      <c r="AR34" s="52">
        <f t="shared" si="20"/>
        <v>27936.332999999999</v>
      </c>
      <c r="AS34" s="53">
        <f t="shared" si="21"/>
        <v>2349</v>
      </c>
      <c r="AT34" s="54">
        <f t="shared" si="22"/>
        <v>65622446</v>
      </c>
      <c r="AU34" s="84"/>
      <c r="AV34" s="85"/>
      <c r="AW34" s="412">
        <f t="shared" si="23"/>
        <v>3148</v>
      </c>
      <c r="AX34" s="412">
        <f t="shared" si="24"/>
        <v>0</v>
      </c>
      <c r="AY34" s="419">
        <f t="shared" si="25"/>
        <v>87943576</v>
      </c>
    </row>
    <row r="35" spans="1:51" x14ac:dyDescent="0.25">
      <c r="A35" s="27" t="s">
        <v>142</v>
      </c>
      <c r="B35" s="28" t="s">
        <v>143</v>
      </c>
      <c r="C35" s="29" t="s">
        <v>144</v>
      </c>
      <c r="D35" s="30" t="s">
        <v>125</v>
      </c>
      <c r="E35" s="143">
        <v>546.66059999999993</v>
      </c>
      <c r="F35" s="144">
        <v>50935</v>
      </c>
      <c r="G35" s="145">
        <f t="shared" si="14"/>
        <v>27844158</v>
      </c>
      <c r="H35" s="34">
        <f>'[3]APUS '!H492</f>
        <v>50935</v>
      </c>
      <c r="I35" s="34">
        <f t="shared" si="1"/>
        <v>0</v>
      </c>
      <c r="J35" s="35">
        <f>'[3]APUS '!H499</f>
        <v>68250</v>
      </c>
      <c r="K35" s="32">
        <v>1</v>
      </c>
      <c r="L35" s="32">
        <f>ROUNDUP(('[3]APUS '!$I$480/8)/$K$35,0)</f>
        <v>69</v>
      </c>
      <c r="M35" s="36">
        <f t="shared" si="15"/>
        <v>37309586</v>
      </c>
      <c r="N35" s="37">
        <f t="shared" si="16"/>
        <v>27844158</v>
      </c>
      <c r="O35" s="38">
        <f t="shared" si="17"/>
        <v>27844158</v>
      </c>
      <c r="P35" s="39"/>
      <c r="Q35" s="40">
        <f>ROUND('[3]APUS '!H487*E35,0)+ROUND('[3]APUS '!H490*E35,0)</f>
        <v>43006</v>
      </c>
      <c r="R35" s="41">
        <f>ROUND('[3]APUS '!H484*E35,0)</f>
        <v>603759</v>
      </c>
      <c r="S35" s="41">
        <f>ROUND('[3]APUS '!H481*E35,0)</f>
        <v>7939699</v>
      </c>
      <c r="T35" s="42">
        <f>ROUND('[3]APUS '!H478*E35,0)</f>
        <v>19257486</v>
      </c>
      <c r="U35" s="43">
        <f t="shared" si="18"/>
        <v>27843950</v>
      </c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1"/>
      <c r="AG35" s="45"/>
      <c r="AH35" s="46" t="str">
        <f t="shared" si="12"/>
        <v>CAP. 3: MOVIMIENTOS DE TIERRAS</v>
      </c>
      <c r="AI35" s="47">
        <f t="shared" si="13"/>
        <v>27</v>
      </c>
      <c r="AJ35" s="47"/>
      <c r="AK35" s="47"/>
      <c r="AL35" s="48"/>
      <c r="AM35" s="49"/>
      <c r="AN35" s="84"/>
      <c r="AP35" s="50">
        <f t="shared" si="19"/>
        <v>546.66059999999993</v>
      </c>
      <c r="AQ35" s="51"/>
      <c r="AR35" s="52">
        <f t="shared" si="20"/>
        <v>546.66059999999993</v>
      </c>
      <c r="AS35" s="53">
        <f t="shared" si="21"/>
        <v>50935</v>
      </c>
      <c r="AT35" s="54">
        <f t="shared" si="22"/>
        <v>27844158</v>
      </c>
      <c r="AU35" s="84"/>
      <c r="AV35" s="85"/>
      <c r="AW35" s="412">
        <f t="shared" si="23"/>
        <v>68253</v>
      </c>
      <c r="AX35" s="412">
        <f t="shared" si="24"/>
        <v>-3</v>
      </c>
      <c r="AY35" s="419">
        <f t="shared" si="25"/>
        <v>37311226</v>
      </c>
    </row>
    <row r="36" spans="1:51" x14ac:dyDescent="0.25">
      <c r="A36" s="27" t="s">
        <v>145</v>
      </c>
      <c r="B36" s="28" t="s">
        <v>146</v>
      </c>
      <c r="C36" s="29" t="s">
        <v>147</v>
      </c>
      <c r="D36" s="30" t="s">
        <v>104</v>
      </c>
      <c r="E36" s="143">
        <v>1420</v>
      </c>
      <c r="F36" s="144">
        <v>7281</v>
      </c>
      <c r="G36" s="145">
        <f t="shared" si="14"/>
        <v>10339020</v>
      </c>
      <c r="H36" s="34">
        <f>'[3]APUS '!H517</f>
        <v>7281</v>
      </c>
      <c r="I36" s="34">
        <f t="shared" si="1"/>
        <v>0</v>
      </c>
      <c r="J36" s="35">
        <f>'[3]APUS '!H524</f>
        <v>9756</v>
      </c>
      <c r="K36" s="32">
        <v>1</v>
      </c>
      <c r="L36" s="32">
        <f>ROUNDUP(('[3]APUS '!$I$508/8)/$K$36,0)</f>
        <v>174</v>
      </c>
      <c r="M36" s="36">
        <f t="shared" si="15"/>
        <v>13853520</v>
      </c>
      <c r="N36" s="37">
        <f t="shared" si="16"/>
        <v>10339020</v>
      </c>
      <c r="O36" s="38">
        <f t="shared" si="17"/>
        <v>10339020</v>
      </c>
      <c r="P36" s="39"/>
      <c r="Q36" s="40"/>
      <c r="R36" s="41">
        <f>ROUND('[3]APUS '!H512*E36,0)</f>
        <v>233803</v>
      </c>
      <c r="S36" s="41">
        <f>ROUND('[3]APUS '!H509*E36,0)</f>
        <v>10105799</v>
      </c>
      <c r="T36" s="42"/>
      <c r="U36" s="43">
        <f t="shared" si="18"/>
        <v>10339602</v>
      </c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1"/>
      <c r="AG36" s="45"/>
      <c r="AH36" s="46" t="str">
        <f t="shared" si="12"/>
        <v>CAP. 3: MOVIMIENTOS DE TIERRAS</v>
      </c>
      <c r="AI36" s="47">
        <f t="shared" si="13"/>
        <v>27</v>
      </c>
      <c r="AJ36" s="47"/>
      <c r="AK36" s="47"/>
      <c r="AL36" s="48"/>
      <c r="AM36" s="49"/>
      <c r="AN36" s="84"/>
      <c r="AP36" s="50">
        <f t="shared" si="19"/>
        <v>1420</v>
      </c>
      <c r="AQ36" s="51"/>
      <c r="AR36" s="52">
        <f t="shared" si="20"/>
        <v>1420</v>
      </c>
      <c r="AS36" s="53">
        <f t="shared" si="21"/>
        <v>7281</v>
      </c>
      <c r="AT36" s="54">
        <f t="shared" si="22"/>
        <v>10339020</v>
      </c>
      <c r="AU36" s="84"/>
      <c r="AV36" s="85"/>
      <c r="AW36" s="412">
        <f t="shared" si="23"/>
        <v>9757</v>
      </c>
      <c r="AX36" s="412">
        <f t="shared" si="24"/>
        <v>-1</v>
      </c>
      <c r="AY36" s="419">
        <f t="shared" si="25"/>
        <v>13854940</v>
      </c>
    </row>
    <row r="37" spans="1:51" x14ac:dyDescent="0.25">
      <c r="A37" s="167"/>
      <c r="B37" s="28" t="s">
        <v>148</v>
      </c>
      <c r="C37" s="29" t="s">
        <v>149</v>
      </c>
      <c r="D37" s="30" t="s">
        <v>104</v>
      </c>
      <c r="E37" s="143">
        <v>24</v>
      </c>
      <c r="F37" s="144">
        <v>107962</v>
      </c>
      <c r="G37" s="145">
        <f t="shared" si="14"/>
        <v>2591088</v>
      </c>
      <c r="H37" s="34"/>
      <c r="I37" s="34">
        <f t="shared" si="1"/>
        <v>107962</v>
      </c>
      <c r="J37" s="35"/>
      <c r="K37" s="32"/>
      <c r="L37" s="32"/>
      <c r="M37" s="36"/>
      <c r="N37" s="37"/>
      <c r="O37" s="168"/>
      <c r="P37" s="39"/>
      <c r="Q37" s="40"/>
      <c r="R37" s="41"/>
      <c r="S37" s="41"/>
      <c r="T37" s="42"/>
      <c r="U37" s="43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1"/>
      <c r="AG37" s="45"/>
      <c r="AH37" s="46"/>
      <c r="AI37" s="47"/>
      <c r="AJ37" s="47"/>
      <c r="AK37" s="47"/>
      <c r="AL37" s="48"/>
      <c r="AM37" s="49"/>
      <c r="AN37" s="84"/>
      <c r="AP37" s="50"/>
      <c r="AQ37" s="51"/>
      <c r="AR37" s="52"/>
      <c r="AS37" s="53"/>
      <c r="AT37" s="54"/>
      <c r="AU37" s="84"/>
      <c r="AV37" s="85"/>
      <c r="AW37" s="412">
        <f t="shared" si="23"/>
        <v>144669</v>
      </c>
      <c r="AX37" s="412">
        <f t="shared" si="24"/>
        <v>-144669</v>
      </c>
      <c r="AY37" s="419">
        <f t="shared" si="25"/>
        <v>3472056</v>
      </c>
    </row>
    <row r="38" spans="1:51" ht="15.75" thickBot="1" x14ac:dyDescent="0.3">
      <c r="A38" s="146"/>
      <c r="B38" s="147"/>
      <c r="C38" s="29"/>
      <c r="D38" s="30"/>
      <c r="E38" s="148"/>
      <c r="F38" s="144"/>
      <c r="G38" s="33"/>
      <c r="H38" s="165"/>
      <c r="I38" s="34">
        <f t="shared" si="1"/>
        <v>0</v>
      </c>
      <c r="J38" s="32"/>
      <c r="K38" s="32"/>
      <c r="L38" s="32"/>
      <c r="M38" s="36"/>
      <c r="N38" s="37"/>
      <c r="O38" s="151"/>
      <c r="P38" s="39"/>
      <c r="Q38" s="40"/>
      <c r="R38" s="41"/>
      <c r="S38" s="41"/>
      <c r="T38" s="42"/>
      <c r="U38" s="43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1"/>
      <c r="AG38" s="45"/>
      <c r="AH38" s="46" t="str">
        <f t="shared" si="12"/>
        <v>CAP. 3: MOVIMIENTOS DE TIERRAS</v>
      </c>
      <c r="AI38" s="47">
        <f t="shared" si="13"/>
        <v>27</v>
      </c>
      <c r="AJ38" s="47"/>
      <c r="AK38" s="47"/>
      <c r="AL38" s="48"/>
      <c r="AM38" s="49"/>
      <c r="AN38" s="84"/>
      <c r="AP38" s="50">
        <f t="shared" si="19"/>
        <v>0</v>
      </c>
      <c r="AQ38" s="51"/>
      <c r="AR38" s="52">
        <f t="shared" si="20"/>
        <v>0</v>
      </c>
      <c r="AS38" s="53">
        <f t="shared" si="21"/>
        <v>0</v>
      </c>
      <c r="AT38" s="54">
        <f t="shared" si="22"/>
        <v>0</v>
      </c>
      <c r="AU38" s="84"/>
      <c r="AV38" s="85"/>
      <c r="AW38" s="412"/>
      <c r="AX38" s="412"/>
    </row>
    <row r="39" spans="1:51" ht="15.75" thickBot="1" x14ac:dyDescent="0.3">
      <c r="A39" s="152" t="s">
        <v>105</v>
      </c>
      <c r="B39" s="153"/>
      <c r="C39" s="154"/>
      <c r="D39" s="155"/>
      <c r="E39" s="156"/>
      <c r="F39" s="157" t="s">
        <v>366</v>
      </c>
      <c r="G39" s="169">
        <f>SUM(G28:G38)</f>
        <v>678571686</v>
      </c>
      <c r="H39" s="165"/>
      <c r="I39" s="34" t="e">
        <f t="shared" si="1"/>
        <v>#VALUE!</v>
      </c>
      <c r="J39" s="32"/>
      <c r="K39" s="32"/>
      <c r="L39" s="32"/>
      <c r="M39" s="36"/>
      <c r="N39" s="37"/>
      <c r="O39" s="159">
        <f>SUM(O28:O38)</f>
        <v>658361728</v>
      </c>
      <c r="P39" s="39"/>
      <c r="Q39" s="160">
        <f>SUM(Q27:Q38)</f>
        <v>621204</v>
      </c>
      <c r="R39" s="161">
        <f>SUM(R27:R38)</f>
        <v>148111750</v>
      </c>
      <c r="S39" s="161">
        <f>SUM(S27:S38)</f>
        <v>308958266</v>
      </c>
      <c r="T39" s="162">
        <f>SUM(T27:T38)</f>
        <v>200681919</v>
      </c>
      <c r="U39" s="163">
        <f>SUM(U27:U38)</f>
        <v>658373139</v>
      </c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1"/>
      <c r="AG39" s="45"/>
      <c r="AH39" s="46" t="str">
        <f t="shared" si="12"/>
        <v>CAP. 3: MOVIMIENTOS DE TIERRAS</v>
      </c>
      <c r="AI39" s="47">
        <f t="shared" si="13"/>
        <v>27</v>
      </c>
      <c r="AJ39" s="47"/>
      <c r="AK39" s="47"/>
      <c r="AL39" s="48"/>
      <c r="AM39" s="49"/>
      <c r="AN39" s="84"/>
      <c r="AP39" s="140"/>
      <c r="AQ39" s="141"/>
      <c r="AR39" s="141"/>
      <c r="AS39" s="141"/>
      <c r="AT39" s="142">
        <f>SUM(AT28:AT38)</f>
        <v>658361728</v>
      </c>
      <c r="AU39" s="84"/>
      <c r="AV39" s="85"/>
      <c r="AW39" s="412"/>
      <c r="AX39" s="412"/>
    </row>
    <row r="40" spans="1:51" ht="23.1" customHeight="1" thickBot="1" x14ac:dyDescent="0.3">
      <c r="A40" s="80"/>
      <c r="B40" s="122"/>
      <c r="C40" s="123"/>
      <c r="D40" s="124"/>
      <c r="E40" s="164"/>
      <c r="F40" s="126"/>
      <c r="G40" s="127"/>
      <c r="I40" s="34">
        <f t="shared" si="1"/>
        <v>0</v>
      </c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1"/>
      <c r="AG40" s="45"/>
      <c r="AH40" s="46"/>
      <c r="AI40" s="47"/>
      <c r="AJ40" s="47"/>
      <c r="AK40" s="47"/>
      <c r="AL40" s="48"/>
      <c r="AM40" s="49"/>
      <c r="AN40" s="84"/>
      <c r="AU40" s="84"/>
      <c r="AV40" s="85"/>
      <c r="AW40" s="412"/>
      <c r="AX40" s="412"/>
    </row>
    <row r="41" spans="1:51" x14ac:dyDescent="0.25">
      <c r="A41" s="128" t="s">
        <v>98</v>
      </c>
      <c r="B41" s="129">
        <v>4</v>
      </c>
      <c r="C41" s="130" t="s">
        <v>150</v>
      </c>
      <c r="D41" s="131"/>
      <c r="E41" s="132"/>
      <c r="F41" s="133"/>
      <c r="G41" s="142">
        <f>SUM(G42:G48)</f>
        <v>36919576</v>
      </c>
      <c r="H41" s="26"/>
      <c r="I41" s="34">
        <f t="shared" si="1"/>
        <v>0</v>
      </c>
      <c r="J41" s="26"/>
      <c r="K41" s="26"/>
      <c r="L41" s="26"/>
      <c r="M41" s="26"/>
      <c r="N41" s="26"/>
      <c r="O41" s="135">
        <f>SUM(O42:O48)</f>
        <v>30135936</v>
      </c>
      <c r="P41" s="44"/>
      <c r="Q41" s="136"/>
      <c r="R41" s="137"/>
      <c r="S41" s="137"/>
      <c r="T41" s="138"/>
      <c r="U41" s="139"/>
      <c r="V41" s="110">
        <f>IF(G41&lt;&gt;"",O41-G41*$O$2,0)</f>
        <v>-6783640</v>
      </c>
      <c r="W41" s="110" t="s">
        <v>100</v>
      </c>
      <c r="X41" s="110"/>
      <c r="Y41" s="110"/>
      <c r="Z41" s="110"/>
      <c r="AA41" s="110"/>
      <c r="AB41" s="110"/>
      <c r="AC41" s="110"/>
      <c r="AD41" s="110"/>
      <c r="AE41" s="110"/>
      <c r="AF41" s="111"/>
      <c r="AG41" s="45"/>
      <c r="AH41" s="46" t="str">
        <f t="shared" ref="AH41:AH49" si="26">"CAP. " &amp; $B$41 &amp; ": " &amp; $C$41</f>
        <v>CAP. 4: MANO DE OBRA - REDES DE DISTRIBUCCION</v>
      </c>
      <c r="AI41" s="47">
        <f t="shared" ref="AI41:AI49" si="27">ROW($B$41)</f>
        <v>41</v>
      </c>
      <c r="AJ41" s="47"/>
      <c r="AK41" s="47"/>
      <c r="AL41" s="48"/>
      <c r="AM41" s="49"/>
      <c r="AN41" s="84"/>
      <c r="AP41" s="140"/>
      <c r="AQ41" s="141"/>
      <c r="AR41" s="141"/>
      <c r="AS41" s="141"/>
      <c r="AT41" s="142">
        <f>SUM(AT42:AT48)</f>
        <v>30135936</v>
      </c>
      <c r="AU41" s="84"/>
      <c r="AV41" s="85"/>
      <c r="AW41" s="412"/>
      <c r="AX41" s="412"/>
    </row>
    <row r="42" spans="1:51" x14ac:dyDescent="0.25">
      <c r="A42" s="27" t="s">
        <v>151</v>
      </c>
      <c r="B42" s="28" t="s">
        <v>152</v>
      </c>
      <c r="C42" s="29" t="s">
        <v>153</v>
      </c>
      <c r="D42" s="30" t="s">
        <v>90</v>
      </c>
      <c r="E42" s="143">
        <v>15</v>
      </c>
      <c r="F42" s="144">
        <v>24505</v>
      </c>
      <c r="G42" s="145">
        <f t="shared" ref="G42:G47" si="28">+ROUND(F42*E42,0)</f>
        <v>367575</v>
      </c>
      <c r="H42" s="34">
        <f>'[3]APUS '!H631</f>
        <v>24505</v>
      </c>
      <c r="I42" s="34">
        <f t="shared" si="1"/>
        <v>0</v>
      </c>
      <c r="J42" s="35">
        <f>'[3]APUS '!H638</f>
        <v>32835</v>
      </c>
      <c r="K42" s="32">
        <v>1</v>
      </c>
      <c r="L42" s="32">
        <f>ROUNDUP(('[3]APUS '!$I$618/8)/$K$42,0)</f>
        <v>5</v>
      </c>
      <c r="M42" s="36">
        <f>ROUND(J42 * E42,$K$2)</f>
        <v>492525</v>
      </c>
      <c r="N42" s="37">
        <f>ROUND(H42 * E42,$K$2)</f>
        <v>367575</v>
      </c>
      <c r="O42" s="38">
        <f>G42*$O$2</f>
        <v>367575</v>
      </c>
      <c r="P42" s="39"/>
      <c r="Q42" s="40">
        <f>ROUND('[3]APUS '!H626*E42,0)+ROUND('[3]APUS '!H629*E42,0)</f>
        <v>1770</v>
      </c>
      <c r="R42" s="41">
        <f>ROUND('[3]APUS '!H623*E42,0)</f>
        <v>53294</v>
      </c>
      <c r="S42" s="41">
        <f>ROUND('[3]APUS '!H619*E42,0)</f>
        <v>285397</v>
      </c>
      <c r="T42" s="42">
        <f>ROUND('[3]APUS '!H616*E42,0)</f>
        <v>27120</v>
      </c>
      <c r="U42" s="43">
        <f>Q42+R42+S42+T42</f>
        <v>367581</v>
      </c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1"/>
      <c r="AG42" s="45"/>
      <c r="AH42" s="46" t="str">
        <f t="shared" si="26"/>
        <v>CAP. 4: MANO DE OBRA - REDES DE DISTRIBUCCION</v>
      </c>
      <c r="AI42" s="47">
        <f t="shared" si="27"/>
        <v>41</v>
      </c>
      <c r="AJ42" s="47"/>
      <c r="AK42" s="47"/>
      <c r="AL42" s="48"/>
      <c r="AM42" s="49"/>
      <c r="AN42" s="84"/>
      <c r="AP42" s="50">
        <f t="shared" ref="AP42:AP48" si="29">E42</f>
        <v>15</v>
      </c>
      <c r="AQ42" s="51"/>
      <c r="AR42" s="52">
        <f t="shared" ref="AR42:AR48" si="30">AP42+AQ42</f>
        <v>15</v>
      </c>
      <c r="AS42" s="53">
        <f t="shared" ref="AS42:AS48" si="31">F42</f>
        <v>24505</v>
      </c>
      <c r="AT42" s="54">
        <f t="shared" ref="AT42:AT48" si="32">ROUND(AR42 * AS42,$K$2)</f>
        <v>367575</v>
      </c>
      <c r="AU42" s="84"/>
      <c r="AV42" s="85"/>
      <c r="AW42" s="412">
        <f t="shared" ref="AW42:AW46" si="33">ROUND(F42*1.34,0)</f>
        <v>32837</v>
      </c>
      <c r="AX42" s="412">
        <f t="shared" ref="AX42:AX46" si="34">+J42-AW42</f>
        <v>-2</v>
      </c>
      <c r="AY42" s="419">
        <f t="shared" ref="AY42:AY46" si="35">+ROUND(E42*AW42,0)</f>
        <v>492555</v>
      </c>
    </row>
    <row r="43" spans="1:51" x14ac:dyDescent="0.25">
      <c r="A43" s="27" t="s">
        <v>154</v>
      </c>
      <c r="B43" s="28" t="s">
        <v>155</v>
      </c>
      <c r="C43" s="29" t="s">
        <v>156</v>
      </c>
      <c r="D43" s="30" t="s">
        <v>90</v>
      </c>
      <c r="E43" s="143">
        <v>1</v>
      </c>
      <c r="F43" s="144">
        <v>33970</v>
      </c>
      <c r="G43" s="145">
        <f t="shared" si="28"/>
        <v>33970</v>
      </c>
      <c r="H43" s="34">
        <f>'[3]APUS '!H661</f>
        <v>33970</v>
      </c>
      <c r="I43" s="34">
        <f t="shared" si="1"/>
        <v>0</v>
      </c>
      <c r="J43" s="35">
        <f>'[3]APUS '!H668</f>
        <v>45518</v>
      </c>
      <c r="K43" s="32">
        <v>1</v>
      </c>
      <c r="L43" s="32">
        <f>ROUNDUP(('[3]APUS '!$I$651/8)/$K$43,0)</f>
        <v>1</v>
      </c>
      <c r="M43" s="36">
        <f>ROUND(J43 * E43,$K$2)</f>
        <v>45518</v>
      </c>
      <c r="N43" s="37">
        <f>ROUND(H43 * E43,$K$2)</f>
        <v>33970</v>
      </c>
      <c r="O43" s="38">
        <f>G43*$O$2</f>
        <v>33970</v>
      </c>
      <c r="P43" s="39"/>
      <c r="Q43" s="40">
        <f>ROUND('[3]APUS '!H626*E43,0)+ROUND('[3]APUS '!H659*E43,0)</f>
        <v>73</v>
      </c>
      <c r="R43" s="41">
        <f>ROUND('[3]APUS '!H656*E43,0)</f>
        <v>3549</v>
      </c>
      <c r="S43" s="41">
        <f>ROUND('[3]APUS '!H652*E43,0)</f>
        <v>28540</v>
      </c>
      <c r="T43" s="42">
        <f>ROUND('[3]APUS '!H649*E43,0)</f>
        <v>1808</v>
      </c>
      <c r="U43" s="43">
        <f>Q43+R43+S43+T43</f>
        <v>33970</v>
      </c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1"/>
      <c r="AG43" s="45"/>
      <c r="AH43" s="46" t="str">
        <f t="shared" si="26"/>
        <v>CAP. 4: MANO DE OBRA - REDES DE DISTRIBUCCION</v>
      </c>
      <c r="AI43" s="47">
        <f t="shared" si="27"/>
        <v>41</v>
      </c>
      <c r="AJ43" s="47"/>
      <c r="AK43" s="47"/>
      <c r="AL43" s="48"/>
      <c r="AM43" s="49"/>
      <c r="AN43" s="84"/>
      <c r="AP43" s="50">
        <f t="shared" si="29"/>
        <v>1</v>
      </c>
      <c r="AQ43" s="51"/>
      <c r="AR43" s="52">
        <f t="shared" si="30"/>
        <v>1</v>
      </c>
      <c r="AS43" s="53">
        <f t="shared" si="31"/>
        <v>33970</v>
      </c>
      <c r="AT43" s="54">
        <f t="shared" si="32"/>
        <v>33970</v>
      </c>
      <c r="AU43" s="84"/>
      <c r="AV43" s="85"/>
      <c r="AW43" s="412">
        <f t="shared" si="33"/>
        <v>45520</v>
      </c>
      <c r="AX43" s="412">
        <f t="shared" si="34"/>
        <v>-2</v>
      </c>
      <c r="AY43" s="419">
        <f t="shared" si="35"/>
        <v>45520</v>
      </c>
    </row>
    <row r="44" spans="1:51" x14ac:dyDescent="0.25">
      <c r="A44" s="170" t="s">
        <v>157</v>
      </c>
      <c r="B44" s="28" t="s">
        <v>158</v>
      </c>
      <c r="C44" s="29" t="s">
        <v>159</v>
      </c>
      <c r="D44" s="30" t="s">
        <v>104</v>
      </c>
      <c r="E44" s="143">
        <v>246</v>
      </c>
      <c r="F44" s="144">
        <v>9451</v>
      </c>
      <c r="G44" s="145">
        <f t="shared" si="28"/>
        <v>2324946</v>
      </c>
      <c r="H44" s="34">
        <f>'[3]APUS '!H688</f>
        <v>9451</v>
      </c>
      <c r="I44" s="34">
        <f t="shared" si="1"/>
        <v>0</v>
      </c>
      <c r="J44" s="35">
        <f>'[3]APUS '!H695</f>
        <v>12664</v>
      </c>
      <c r="K44" s="32">
        <v>1</v>
      </c>
      <c r="L44" s="32">
        <f>ROUNDUP(('[3]APUS '!$I$679/8)/$K$44,0)</f>
        <v>13</v>
      </c>
      <c r="M44" s="36">
        <f>ROUND(J44 * E44,$K$2)</f>
        <v>3115344</v>
      </c>
      <c r="N44" s="37">
        <f>ROUND(H44 * E44,$K$2)</f>
        <v>2324946</v>
      </c>
      <c r="O44" s="38">
        <f>G44*$O$2</f>
        <v>2324946</v>
      </c>
      <c r="P44" s="39"/>
      <c r="Q44" s="40">
        <f>ROUND('[3]APUS '!H686*E44,0)</f>
        <v>0</v>
      </c>
      <c r="R44" s="41">
        <f>ROUND('[3]APUS '!H683*E44,0)</f>
        <v>227095</v>
      </c>
      <c r="S44" s="41">
        <f>ROUND('[3]APUS '!H680*E44,0)</f>
        <v>2027827</v>
      </c>
      <c r="T44" s="42">
        <f>ROUND('[3]APUS '!H677*E44,0)</f>
        <v>70078</v>
      </c>
      <c r="U44" s="43">
        <f>Q44+R44+S44+T44</f>
        <v>2325000</v>
      </c>
      <c r="V44" s="44"/>
      <c r="W44" s="26"/>
      <c r="AG44" s="45"/>
      <c r="AH44" s="46" t="str">
        <f t="shared" si="26"/>
        <v>CAP. 4: MANO DE OBRA - REDES DE DISTRIBUCCION</v>
      </c>
      <c r="AI44" s="47">
        <f t="shared" si="27"/>
        <v>41</v>
      </c>
      <c r="AJ44" s="47"/>
      <c r="AK44" s="47"/>
      <c r="AL44" s="48"/>
      <c r="AM44" s="49"/>
      <c r="AP44" s="50">
        <f t="shared" si="29"/>
        <v>246</v>
      </c>
      <c r="AQ44" s="51"/>
      <c r="AR44" s="52">
        <f>AP44+AQ44</f>
        <v>246</v>
      </c>
      <c r="AS44" s="53">
        <f t="shared" si="31"/>
        <v>9451</v>
      </c>
      <c r="AT44" s="54">
        <f t="shared" si="32"/>
        <v>2324946</v>
      </c>
      <c r="AU44" s="55"/>
      <c r="AV44" s="56"/>
      <c r="AW44" s="412">
        <f t="shared" si="33"/>
        <v>12664</v>
      </c>
      <c r="AX44" s="412">
        <f t="shared" si="34"/>
        <v>0</v>
      </c>
      <c r="AY44" s="419">
        <f t="shared" si="35"/>
        <v>3115344</v>
      </c>
    </row>
    <row r="45" spans="1:51" x14ac:dyDescent="0.25">
      <c r="A45" s="170" t="s">
        <v>160</v>
      </c>
      <c r="B45" s="28" t="s">
        <v>161</v>
      </c>
      <c r="C45" s="29" t="s">
        <v>162</v>
      </c>
      <c r="D45" s="30" t="s">
        <v>104</v>
      </c>
      <c r="E45" s="143">
        <v>2800</v>
      </c>
      <c r="F45" s="144">
        <v>6775</v>
      </c>
      <c r="G45" s="145">
        <f t="shared" si="28"/>
        <v>18970000</v>
      </c>
      <c r="H45" s="34">
        <f>'[3]APUS '!H716</f>
        <v>6775</v>
      </c>
      <c r="I45" s="34">
        <f t="shared" si="1"/>
        <v>0</v>
      </c>
      <c r="J45" s="35">
        <f>'[3]APUS '!H723</f>
        <v>9078</v>
      </c>
      <c r="K45" s="32">
        <v>1</v>
      </c>
      <c r="L45" s="32">
        <f>ROUNDUP(('[3]APUS '!$I$707/8)/$K$45,0)</f>
        <v>105</v>
      </c>
      <c r="M45" s="36">
        <f>ROUND(J45 * E45,$K$2)</f>
        <v>25418400</v>
      </c>
      <c r="N45" s="37">
        <f>ROUND(H45 * E45,$K$2)</f>
        <v>18970000</v>
      </c>
      <c r="O45" s="38">
        <f>G45*$O$2</f>
        <v>18970000</v>
      </c>
      <c r="P45" s="39"/>
      <c r="Q45" s="40">
        <f>ROUND('[3]APUS '!H714*E45,0)</f>
        <v>0</v>
      </c>
      <c r="R45" s="41">
        <f>ROUND('[3]APUS '!H711*E45,0)</f>
        <v>1020460</v>
      </c>
      <c r="S45" s="41">
        <f>ROUND('[3]APUS '!H708*E45,0)</f>
        <v>17310720</v>
      </c>
      <c r="T45" s="42">
        <f>ROUND('[3]APUS '!H705*E45,0)</f>
        <v>638120</v>
      </c>
      <c r="U45" s="43">
        <f>Q45+R45+S45+T45</f>
        <v>18969300</v>
      </c>
      <c r="V45" s="44"/>
      <c r="W45" s="26"/>
      <c r="AG45" s="45"/>
      <c r="AH45" s="46" t="str">
        <f t="shared" si="26"/>
        <v>CAP. 4: MANO DE OBRA - REDES DE DISTRIBUCCION</v>
      </c>
      <c r="AI45" s="47">
        <f t="shared" si="27"/>
        <v>41</v>
      </c>
      <c r="AJ45" s="47"/>
      <c r="AK45" s="47"/>
      <c r="AL45" s="48"/>
      <c r="AM45" s="49"/>
      <c r="AP45" s="50">
        <f t="shared" si="29"/>
        <v>2800</v>
      </c>
      <c r="AQ45" s="51"/>
      <c r="AR45" s="52">
        <f>AP45+AQ45</f>
        <v>2800</v>
      </c>
      <c r="AS45" s="53">
        <f t="shared" si="31"/>
        <v>6775</v>
      </c>
      <c r="AT45" s="54">
        <f t="shared" si="32"/>
        <v>18970000</v>
      </c>
      <c r="AU45" s="55"/>
      <c r="AV45" s="56"/>
      <c r="AW45" s="412">
        <f t="shared" si="33"/>
        <v>9079</v>
      </c>
      <c r="AX45" s="412">
        <f t="shared" si="34"/>
        <v>-1</v>
      </c>
      <c r="AY45" s="419">
        <f t="shared" si="35"/>
        <v>25421200</v>
      </c>
    </row>
    <row r="46" spans="1:51" x14ac:dyDescent="0.25">
      <c r="A46" s="170" t="s">
        <v>163</v>
      </c>
      <c r="B46" s="28" t="s">
        <v>164</v>
      </c>
      <c r="C46" s="29" t="s">
        <v>165</v>
      </c>
      <c r="D46" s="30" t="s">
        <v>104</v>
      </c>
      <c r="E46" s="143">
        <v>1720.58</v>
      </c>
      <c r="F46" s="144">
        <v>4905</v>
      </c>
      <c r="G46" s="145">
        <f t="shared" si="28"/>
        <v>8439445</v>
      </c>
      <c r="H46" s="34">
        <f>'[3]APUS '!H744</f>
        <v>4905</v>
      </c>
      <c r="I46" s="34">
        <f t="shared" si="1"/>
        <v>0</v>
      </c>
      <c r="J46" s="35">
        <f>'[3]APUS '!H751</f>
        <v>6572</v>
      </c>
      <c r="K46" s="32">
        <v>1</v>
      </c>
      <c r="L46" s="32">
        <f>ROUNDUP(('[3]APUS '!$I$735/8)/$K$46,0)</f>
        <v>44</v>
      </c>
      <c r="M46" s="36">
        <f>ROUND(J46 * E46,$K$2)</f>
        <v>11307652</v>
      </c>
      <c r="N46" s="37">
        <f>ROUND(H46 * E46,$K$2)</f>
        <v>8439445</v>
      </c>
      <c r="O46" s="38">
        <f>G46*$O$2</f>
        <v>8439445</v>
      </c>
      <c r="P46" s="39"/>
      <c r="Q46" s="40">
        <f>ROUND('[3]APUS '!H742*E46,0)</f>
        <v>0</v>
      </c>
      <c r="R46" s="41">
        <f>ROUND('[3]APUS '!H739*E46,0)</f>
        <v>954922</v>
      </c>
      <c r="S46" s="41">
        <f>ROUND('[3]APUS '!H736*E46,0)</f>
        <v>7091543</v>
      </c>
      <c r="T46" s="42">
        <f>ROUND('[3]APUS '!H733*E46,0)</f>
        <v>392120</v>
      </c>
      <c r="U46" s="43">
        <f>Q46+R46+S46+T46</f>
        <v>8438585</v>
      </c>
      <c r="V46" s="44"/>
      <c r="W46" s="26"/>
      <c r="AG46" s="45"/>
      <c r="AH46" s="46" t="str">
        <f t="shared" si="26"/>
        <v>CAP. 4: MANO DE OBRA - REDES DE DISTRIBUCCION</v>
      </c>
      <c r="AI46" s="47">
        <f t="shared" si="27"/>
        <v>41</v>
      </c>
      <c r="AJ46" s="47"/>
      <c r="AK46" s="47"/>
      <c r="AL46" s="48"/>
      <c r="AM46" s="49"/>
      <c r="AP46" s="50">
        <f t="shared" si="29"/>
        <v>1720.58</v>
      </c>
      <c r="AQ46" s="51"/>
      <c r="AR46" s="52">
        <f>AP46+AQ46</f>
        <v>1720.58</v>
      </c>
      <c r="AS46" s="53">
        <f t="shared" si="31"/>
        <v>4905</v>
      </c>
      <c r="AT46" s="54">
        <f t="shared" si="32"/>
        <v>8439445</v>
      </c>
      <c r="AU46" s="55"/>
      <c r="AV46" s="56"/>
      <c r="AW46" s="412">
        <f t="shared" si="33"/>
        <v>6573</v>
      </c>
      <c r="AX46" s="412">
        <f t="shared" si="34"/>
        <v>-1</v>
      </c>
      <c r="AY46" s="419">
        <f t="shared" si="35"/>
        <v>11309372</v>
      </c>
    </row>
    <row r="47" spans="1:51" ht="57" customHeight="1" x14ac:dyDescent="0.25">
      <c r="A47" s="171"/>
      <c r="B47" s="172" t="s">
        <v>166</v>
      </c>
      <c r="C47" s="173" t="str">
        <f>+'[3]APUS '!C780</f>
        <v>INSTALACIÓN Y PUESTA EN MARCHA DE MACROMEDIDOR 8" FULL BORE, BRIDADO ANSI 150, PROTOCOLO HART ERROR MÁXIMO 0.2%, TOTALIZADORES INDEPENDIENTE, IP68, 24 VDC, AUTO DIAGNÓSTICO Y CALIBRACIÓN HEARBEAT</v>
      </c>
      <c r="D47" s="174" t="s">
        <v>90</v>
      </c>
      <c r="E47" s="175">
        <v>1</v>
      </c>
      <c r="F47" s="176">
        <v>6783640</v>
      </c>
      <c r="G47" s="177">
        <f t="shared" si="28"/>
        <v>6783640</v>
      </c>
      <c r="H47" s="34"/>
      <c r="I47" s="34">
        <f t="shared" si="1"/>
        <v>6783640</v>
      </c>
      <c r="J47" s="35"/>
      <c r="K47" s="32"/>
      <c r="L47" s="32"/>
      <c r="M47" s="36"/>
      <c r="N47" s="37"/>
      <c r="O47" s="168"/>
      <c r="P47" s="39"/>
      <c r="Q47" s="40"/>
      <c r="R47" s="41"/>
      <c r="S47" s="41"/>
      <c r="T47" s="42"/>
      <c r="U47" s="43"/>
      <c r="V47" s="44"/>
      <c r="W47" s="26"/>
      <c r="AG47" s="45"/>
      <c r="AH47" s="46"/>
      <c r="AI47" s="47"/>
      <c r="AJ47" s="47"/>
      <c r="AK47" s="47"/>
      <c r="AL47" s="48"/>
      <c r="AM47" s="49"/>
      <c r="AP47" s="50"/>
      <c r="AQ47" s="51"/>
      <c r="AR47" s="52"/>
      <c r="AS47" s="53"/>
      <c r="AT47" s="54"/>
      <c r="AU47" s="166"/>
      <c r="AV47" s="56"/>
      <c r="AW47" s="412">
        <f t="shared" ref="AW47" si="36">+F47*1.34</f>
        <v>9090077.5999999996</v>
      </c>
      <c r="AX47" s="412">
        <f>+J47-AW47</f>
        <v>-9090077.5999999996</v>
      </c>
      <c r="AY47" s="419">
        <f>+ROUND(E47*AW47,0)</f>
        <v>9090078</v>
      </c>
    </row>
    <row r="48" spans="1:51" ht="15.75" thickBot="1" x14ac:dyDescent="0.3">
      <c r="A48" s="146"/>
      <c r="B48" s="147"/>
      <c r="C48" s="29"/>
      <c r="D48" s="30"/>
      <c r="E48" s="148"/>
      <c r="F48" s="144"/>
      <c r="G48" s="33"/>
      <c r="H48" s="165"/>
      <c r="I48" s="34">
        <f t="shared" si="1"/>
        <v>0</v>
      </c>
      <c r="J48" s="32"/>
      <c r="K48" s="32"/>
      <c r="L48" s="32"/>
      <c r="M48" s="36"/>
      <c r="N48" s="37"/>
      <c r="O48" s="151"/>
      <c r="P48" s="39"/>
      <c r="Q48" s="40"/>
      <c r="R48" s="41"/>
      <c r="S48" s="41"/>
      <c r="T48" s="42"/>
      <c r="U48" s="43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1"/>
      <c r="AG48" s="45"/>
      <c r="AH48" s="46" t="str">
        <f t="shared" si="26"/>
        <v>CAP. 4: MANO DE OBRA - REDES DE DISTRIBUCCION</v>
      </c>
      <c r="AI48" s="47">
        <f t="shared" si="27"/>
        <v>41</v>
      </c>
      <c r="AJ48" s="47"/>
      <c r="AK48" s="47"/>
      <c r="AL48" s="48"/>
      <c r="AM48" s="49"/>
      <c r="AN48" s="84"/>
      <c r="AP48" s="50">
        <f t="shared" si="29"/>
        <v>0</v>
      </c>
      <c r="AQ48" s="51"/>
      <c r="AR48" s="52">
        <f t="shared" si="30"/>
        <v>0</v>
      </c>
      <c r="AS48" s="53">
        <f t="shared" si="31"/>
        <v>0</v>
      </c>
      <c r="AT48" s="54">
        <f t="shared" si="32"/>
        <v>0</v>
      </c>
      <c r="AU48" s="84"/>
      <c r="AV48" s="85"/>
      <c r="AW48" s="412"/>
      <c r="AX48" s="412"/>
    </row>
    <row r="49" spans="1:52" ht="15.75" thickBot="1" x14ac:dyDescent="0.3">
      <c r="A49" s="152" t="s">
        <v>105</v>
      </c>
      <c r="B49" s="153"/>
      <c r="C49" s="154"/>
      <c r="D49" s="155"/>
      <c r="E49" s="156"/>
      <c r="F49" s="157" t="s">
        <v>367</v>
      </c>
      <c r="G49" s="169">
        <f>SUM(G42:G48)</f>
        <v>36919576</v>
      </c>
      <c r="H49" s="165"/>
      <c r="I49" s="34" t="e">
        <f t="shared" si="1"/>
        <v>#VALUE!</v>
      </c>
      <c r="J49" s="32"/>
      <c r="K49" s="32"/>
      <c r="L49" s="32"/>
      <c r="M49" s="36"/>
      <c r="N49" s="37"/>
      <c r="O49" s="159">
        <f>SUM(O42:O48)</f>
        <v>30135936</v>
      </c>
      <c r="P49" s="39"/>
      <c r="Q49" s="160">
        <f>SUM(Q41:Q48)</f>
        <v>1843</v>
      </c>
      <c r="R49" s="161">
        <f>SUM(R41:R48)</f>
        <v>2259320</v>
      </c>
      <c r="S49" s="161">
        <f>SUM(S41:S48)</f>
        <v>26744027</v>
      </c>
      <c r="T49" s="162">
        <f>SUM(T41:T48)</f>
        <v>1129246</v>
      </c>
      <c r="U49" s="163">
        <f>SUM(U41:U48)</f>
        <v>30134436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1"/>
      <c r="AG49" s="45"/>
      <c r="AH49" s="46" t="str">
        <f t="shared" si="26"/>
        <v>CAP. 4: MANO DE OBRA - REDES DE DISTRIBUCCION</v>
      </c>
      <c r="AI49" s="47">
        <f t="shared" si="27"/>
        <v>41</v>
      </c>
      <c r="AJ49" s="47"/>
      <c r="AK49" s="47"/>
      <c r="AL49" s="48"/>
      <c r="AM49" s="49"/>
      <c r="AN49" s="84"/>
      <c r="AP49" s="140"/>
      <c r="AQ49" s="141"/>
      <c r="AR49" s="141"/>
      <c r="AS49" s="141"/>
      <c r="AT49" s="142">
        <f>SUM(AT42:AT48)</f>
        <v>30135936</v>
      </c>
      <c r="AU49" s="84"/>
      <c r="AV49" s="85"/>
      <c r="AW49" s="412"/>
      <c r="AX49" s="412"/>
    </row>
    <row r="50" spans="1:52" ht="23.1" customHeight="1" thickBot="1" x14ac:dyDescent="0.3">
      <c r="A50" s="80"/>
      <c r="B50" s="122"/>
      <c r="C50" s="123"/>
      <c r="D50" s="124"/>
      <c r="E50" s="164"/>
      <c r="F50" s="126"/>
      <c r="G50" s="127"/>
      <c r="I50" s="34">
        <f t="shared" si="1"/>
        <v>0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1"/>
      <c r="AG50" s="45"/>
      <c r="AH50" s="46"/>
      <c r="AI50" s="47"/>
      <c r="AJ50" s="47"/>
      <c r="AK50" s="47"/>
      <c r="AL50" s="48"/>
      <c r="AM50" s="49"/>
      <c r="AN50" s="84"/>
      <c r="AU50" s="84"/>
      <c r="AV50" s="85"/>
      <c r="AW50" s="412"/>
      <c r="AX50" s="412"/>
    </row>
    <row r="51" spans="1:52" x14ac:dyDescent="0.25">
      <c r="A51" s="128" t="s">
        <v>98</v>
      </c>
      <c r="B51" s="129">
        <v>5</v>
      </c>
      <c r="C51" s="130" t="s">
        <v>167</v>
      </c>
      <c r="D51" s="131"/>
      <c r="E51" s="132"/>
      <c r="F51" s="133"/>
      <c r="G51" s="134">
        <f>SUM(G52:G93)</f>
        <v>145066804</v>
      </c>
      <c r="H51" s="26"/>
      <c r="I51" s="34">
        <f t="shared" si="1"/>
        <v>0</v>
      </c>
      <c r="J51" s="26"/>
      <c r="K51" s="26"/>
      <c r="L51" s="26"/>
      <c r="M51" s="26"/>
      <c r="N51" s="26"/>
      <c r="O51" s="135">
        <f>SUM(O55:O93)</f>
        <v>137011093</v>
      </c>
      <c r="P51" s="44"/>
      <c r="Q51" s="136"/>
      <c r="R51" s="137"/>
      <c r="S51" s="137"/>
      <c r="T51" s="138"/>
      <c r="U51" s="139"/>
      <c r="V51" s="110">
        <f>IF(G51&lt;&gt;"",O51-G51*$O$2,0)</f>
        <v>-8055711</v>
      </c>
      <c r="W51" s="110" t="s">
        <v>100</v>
      </c>
      <c r="X51" s="110"/>
      <c r="Y51" s="110"/>
      <c r="Z51" s="110"/>
      <c r="AA51" s="110"/>
      <c r="AB51" s="110"/>
      <c r="AC51" s="110"/>
      <c r="AD51" s="110"/>
      <c r="AE51" s="110"/>
      <c r="AF51" s="111"/>
      <c r="AG51" s="45"/>
      <c r="AH51" s="46" t="str">
        <f t="shared" ref="AH51:AH94" si="37">"CAP. " &amp; $B$51 &amp; ": " &amp; $C$51</f>
        <v>CAP. 5: ACCESORIOS HIDRAULICOS</v>
      </c>
      <c r="AI51" s="47">
        <f t="shared" ref="AI51:AI94" si="38">ROW($B$51)</f>
        <v>51</v>
      </c>
      <c r="AJ51" s="47"/>
      <c r="AK51" s="47"/>
      <c r="AL51" s="48"/>
      <c r="AM51" s="49"/>
      <c r="AN51" s="84"/>
      <c r="AP51" s="140"/>
      <c r="AQ51" s="141"/>
      <c r="AR51" s="141"/>
      <c r="AS51" s="141"/>
      <c r="AT51" s="142">
        <f>SUM(AT55:AT93)</f>
        <v>137011093</v>
      </c>
      <c r="AU51" s="84"/>
      <c r="AV51" s="85"/>
      <c r="AW51" s="412"/>
      <c r="AX51" s="412"/>
    </row>
    <row r="52" spans="1:52" x14ac:dyDescent="0.25">
      <c r="A52" s="178"/>
      <c r="B52" s="28" t="s">
        <v>168</v>
      </c>
      <c r="C52" s="29" t="s">
        <v>169</v>
      </c>
      <c r="D52" s="30" t="s">
        <v>90</v>
      </c>
      <c r="E52" s="143">
        <v>13</v>
      </c>
      <c r="F52" s="144">
        <v>262245</v>
      </c>
      <c r="G52" s="145">
        <f t="shared" ref="G52:G92" si="39">+ROUND(F52*E52,0)</f>
        <v>3409185</v>
      </c>
      <c r="H52" s="26"/>
      <c r="I52" s="34">
        <f t="shared" si="1"/>
        <v>262245</v>
      </c>
      <c r="J52" s="26"/>
      <c r="K52" s="26"/>
      <c r="L52" s="26"/>
      <c r="M52" s="26"/>
      <c r="N52" s="26"/>
      <c r="O52" s="179"/>
      <c r="P52" s="44"/>
      <c r="Q52" s="180"/>
      <c r="R52" s="181"/>
      <c r="S52" s="181"/>
      <c r="T52" s="182"/>
      <c r="U52" s="183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1"/>
      <c r="AG52" s="45"/>
      <c r="AH52" s="46"/>
      <c r="AI52" s="47"/>
      <c r="AJ52" s="47"/>
      <c r="AK52" s="47"/>
      <c r="AL52" s="48"/>
      <c r="AM52" s="49"/>
      <c r="AN52" s="84"/>
      <c r="AP52" s="184"/>
      <c r="AQ52" s="185"/>
      <c r="AR52" s="185"/>
      <c r="AS52" s="185"/>
      <c r="AT52" s="186"/>
      <c r="AU52" s="84"/>
      <c r="AV52" s="85"/>
      <c r="AW52" s="412">
        <f t="shared" ref="AW52:AW92" si="40">ROUND(F52*1.34,0)</f>
        <v>351408</v>
      </c>
      <c r="AX52" s="412">
        <f t="shared" ref="AX52:AX92" si="41">+J52-AW52</f>
        <v>-351408</v>
      </c>
      <c r="AY52" s="419">
        <f t="shared" ref="AY52:AY92" si="42">+ROUND(E52*AW52,0)</f>
        <v>4568304</v>
      </c>
    </row>
    <row r="53" spans="1:52" x14ac:dyDescent="0.25">
      <c r="A53" s="178"/>
      <c r="B53" s="28" t="s">
        <v>170</v>
      </c>
      <c r="C53" s="29" t="s">
        <v>171</v>
      </c>
      <c r="D53" s="30" t="s">
        <v>90</v>
      </c>
      <c r="E53" s="143">
        <v>2</v>
      </c>
      <c r="F53" s="144">
        <v>373467</v>
      </c>
      <c r="G53" s="145">
        <f t="shared" si="39"/>
        <v>746934</v>
      </c>
      <c r="H53" s="26"/>
      <c r="I53" s="34">
        <f t="shared" si="1"/>
        <v>373467</v>
      </c>
      <c r="J53" s="26"/>
      <c r="K53" s="26"/>
      <c r="L53" s="26"/>
      <c r="M53" s="26"/>
      <c r="N53" s="26"/>
      <c r="O53" s="179"/>
      <c r="P53" s="44"/>
      <c r="Q53" s="180"/>
      <c r="R53" s="181"/>
      <c r="S53" s="181"/>
      <c r="T53" s="182"/>
      <c r="U53" s="183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1"/>
      <c r="AG53" s="45"/>
      <c r="AH53" s="46"/>
      <c r="AI53" s="47"/>
      <c r="AJ53" s="47"/>
      <c r="AK53" s="47"/>
      <c r="AL53" s="48"/>
      <c r="AM53" s="49"/>
      <c r="AN53" s="84"/>
      <c r="AP53" s="184"/>
      <c r="AQ53" s="185"/>
      <c r="AR53" s="185"/>
      <c r="AS53" s="185"/>
      <c r="AT53" s="186"/>
      <c r="AU53" s="84"/>
      <c r="AV53" s="85"/>
      <c r="AW53" s="412">
        <f t="shared" si="40"/>
        <v>500446</v>
      </c>
      <c r="AX53" s="412">
        <f t="shared" si="41"/>
        <v>-500446</v>
      </c>
      <c r="AY53" s="419">
        <f t="shared" si="42"/>
        <v>1000892</v>
      </c>
    </row>
    <row r="54" spans="1:52" x14ac:dyDescent="0.25">
      <c r="A54" s="178"/>
      <c r="B54" s="28" t="s">
        <v>172</v>
      </c>
      <c r="C54" s="29" t="s">
        <v>173</v>
      </c>
      <c r="D54" s="30" t="s">
        <v>90</v>
      </c>
      <c r="E54" s="143">
        <v>9</v>
      </c>
      <c r="F54" s="144">
        <v>433288</v>
      </c>
      <c r="G54" s="145">
        <f t="shared" si="39"/>
        <v>3899592</v>
      </c>
      <c r="H54" s="26"/>
      <c r="I54" s="34">
        <f t="shared" si="1"/>
        <v>433288</v>
      </c>
      <c r="J54" s="26"/>
      <c r="K54" s="26"/>
      <c r="L54" s="26"/>
      <c r="M54" s="26"/>
      <c r="N54" s="26"/>
      <c r="O54" s="179"/>
      <c r="P54" s="44"/>
      <c r="Q54" s="180"/>
      <c r="R54" s="181"/>
      <c r="S54" s="181"/>
      <c r="T54" s="182"/>
      <c r="U54" s="183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1"/>
      <c r="AG54" s="45"/>
      <c r="AH54" s="46"/>
      <c r="AI54" s="47"/>
      <c r="AJ54" s="47"/>
      <c r="AK54" s="47"/>
      <c r="AL54" s="48"/>
      <c r="AM54" s="49"/>
      <c r="AN54" s="84"/>
      <c r="AP54" s="184"/>
      <c r="AQ54" s="185"/>
      <c r="AR54" s="185"/>
      <c r="AS54" s="185"/>
      <c r="AT54" s="186"/>
      <c r="AU54" s="84"/>
      <c r="AV54" s="85"/>
      <c r="AW54" s="412">
        <f t="shared" si="40"/>
        <v>580606</v>
      </c>
      <c r="AX54" s="412">
        <f t="shared" si="41"/>
        <v>-580606</v>
      </c>
      <c r="AY54" s="419">
        <f t="shared" si="42"/>
        <v>5225454</v>
      </c>
    </row>
    <row r="55" spans="1:52" x14ac:dyDescent="0.25">
      <c r="A55" s="27" t="s">
        <v>174</v>
      </c>
      <c r="B55" s="28" t="s">
        <v>175</v>
      </c>
      <c r="C55" s="29" t="s">
        <v>176</v>
      </c>
      <c r="D55" s="30" t="s">
        <v>90</v>
      </c>
      <c r="E55" s="143">
        <v>2</v>
      </c>
      <c r="F55" s="144">
        <v>823327</v>
      </c>
      <c r="G55" s="145">
        <f t="shared" si="39"/>
        <v>1646654</v>
      </c>
      <c r="H55" s="34" t="e">
        <f>'[3]APUS '!#REF!</f>
        <v>#REF!</v>
      </c>
      <c r="I55" s="34" t="e">
        <f t="shared" si="1"/>
        <v>#REF!</v>
      </c>
      <c r="J55" s="35" t="e">
        <f>'[3]APUS '!#REF!</f>
        <v>#REF!</v>
      </c>
      <c r="K55" s="32">
        <v>1</v>
      </c>
      <c r="L55" s="32" t="e">
        <f>ROUNDUP(('[3]APUS '!#REF!/8)/$K$55,0)</f>
        <v>#REF!</v>
      </c>
      <c r="M55" s="36" t="e">
        <f t="shared" ref="M55:M92" si="43">ROUND(J55 * E55,$K$2)</f>
        <v>#REF!</v>
      </c>
      <c r="N55" s="37" t="e">
        <f t="shared" ref="N55:N92" si="44">ROUND(H55 * E55,$K$2)</f>
        <v>#REF!</v>
      </c>
      <c r="O55" s="38">
        <f t="shared" ref="O55:O92" si="45">G55*$O$2</f>
        <v>1646654</v>
      </c>
      <c r="P55" s="39"/>
      <c r="Q55" s="40" t="e">
        <f>ROUND('[3]APUS '!#REF!*E55,0)+ROUND('[3]APUS '!#REF!*E55,0)</f>
        <v>#REF!</v>
      </c>
      <c r="R55" s="41" t="e">
        <f>ROUND('[3]APUS '!#REF!*E55,0)</f>
        <v>#REF!</v>
      </c>
      <c r="S55" s="41" t="e">
        <f>ROUND('[3]APUS '!#REF!*E55,0)</f>
        <v>#REF!</v>
      </c>
      <c r="T55" s="42" t="e">
        <f>ROUND('[3]APUS '!#REF!*E55,0)</f>
        <v>#REF!</v>
      </c>
      <c r="U55" s="43" t="e">
        <f t="shared" ref="U55:U92" si="46">Q55+R55+S55+T55</f>
        <v>#REF!</v>
      </c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1"/>
      <c r="AG55" s="45"/>
      <c r="AH55" s="46" t="str">
        <f t="shared" si="37"/>
        <v>CAP. 5: ACCESORIOS HIDRAULICOS</v>
      </c>
      <c r="AI55" s="47">
        <f t="shared" si="38"/>
        <v>51</v>
      </c>
      <c r="AJ55" s="47"/>
      <c r="AK55" s="47"/>
      <c r="AL55" s="48"/>
      <c r="AM55" s="49"/>
      <c r="AN55" s="84"/>
      <c r="AP55" s="50">
        <f t="shared" ref="AP55:AP93" si="47">E55</f>
        <v>2</v>
      </c>
      <c r="AQ55" s="51"/>
      <c r="AR55" s="52">
        <f t="shared" ref="AR55:AR93" si="48">AP55+AQ55</f>
        <v>2</v>
      </c>
      <c r="AS55" s="53">
        <f t="shared" ref="AS55:AS93" si="49">F55</f>
        <v>823327</v>
      </c>
      <c r="AT55" s="54">
        <f t="shared" ref="AT55:AT93" si="50">ROUND(AR55 * AS55,$K$2)</f>
        <v>1646654</v>
      </c>
      <c r="AU55" s="84"/>
      <c r="AV55" s="85"/>
      <c r="AW55" s="412">
        <f t="shared" si="40"/>
        <v>1103258</v>
      </c>
      <c r="AX55" s="412" t="e">
        <f t="shared" si="41"/>
        <v>#REF!</v>
      </c>
      <c r="AY55" s="419">
        <f t="shared" si="42"/>
        <v>2206516</v>
      </c>
    </row>
    <row r="56" spans="1:52" x14ac:dyDescent="0.25">
      <c r="A56" s="27" t="s">
        <v>177</v>
      </c>
      <c r="B56" s="28" t="s">
        <v>178</v>
      </c>
      <c r="C56" s="29" t="s">
        <v>179</v>
      </c>
      <c r="D56" s="30" t="s">
        <v>90</v>
      </c>
      <c r="E56" s="143">
        <v>4</v>
      </c>
      <c r="F56" s="144">
        <v>191027</v>
      </c>
      <c r="G56" s="145">
        <f t="shared" si="39"/>
        <v>764108</v>
      </c>
      <c r="H56" s="34">
        <f>'[3]APUS '!H958</f>
        <v>191027</v>
      </c>
      <c r="I56" s="34">
        <f t="shared" si="1"/>
        <v>0</v>
      </c>
      <c r="J56" s="35">
        <f>'[3]APUS '!H965</f>
        <v>255967</v>
      </c>
      <c r="K56" s="32">
        <v>1</v>
      </c>
      <c r="L56" s="32">
        <f>ROUNDUP(('[3]APUS '!$I$919/8)/$K$56,0)</f>
        <v>1</v>
      </c>
      <c r="M56" s="36">
        <f t="shared" si="43"/>
        <v>1023868</v>
      </c>
      <c r="N56" s="37">
        <f t="shared" si="44"/>
        <v>764108</v>
      </c>
      <c r="O56" s="38">
        <f t="shared" si="45"/>
        <v>764108</v>
      </c>
      <c r="P56" s="39"/>
      <c r="Q56" s="40" t="e">
        <f>ROUND('[3]APUS '!#REF!*E56,0)+ROUND('[3]APUS '!H956*E56,0)</f>
        <v>#REF!</v>
      </c>
      <c r="R56" s="41">
        <f>ROUND('[3]APUS '!H953*E56,0)</f>
        <v>14800</v>
      </c>
      <c r="S56" s="41">
        <f>ROUND('[3]APUS '!H950*E56,0)</f>
        <v>115693</v>
      </c>
      <c r="T56" s="42">
        <f>ROUND('[3]APUS '!H946*E56,0)</f>
        <v>631352</v>
      </c>
      <c r="U56" s="43" t="e">
        <f t="shared" si="46"/>
        <v>#REF!</v>
      </c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1"/>
      <c r="AG56" s="45"/>
      <c r="AH56" s="46" t="str">
        <f t="shared" si="37"/>
        <v>CAP. 5: ACCESORIOS HIDRAULICOS</v>
      </c>
      <c r="AI56" s="47">
        <f t="shared" si="38"/>
        <v>51</v>
      </c>
      <c r="AJ56" s="47"/>
      <c r="AK56" s="47"/>
      <c r="AL56" s="48"/>
      <c r="AM56" s="49"/>
      <c r="AN56" s="84"/>
      <c r="AP56" s="50">
        <f t="shared" si="47"/>
        <v>4</v>
      </c>
      <c r="AQ56" s="51"/>
      <c r="AR56" s="52">
        <f t="shared" si="48"/>
        <v>4</v>
      </c>
      <c r="AS56" s="53">
        <f t="shared" si="49"/>
        <v>191027</v>
      </c>
      <c r="AT56" s="54">
        <f t="shared" si="50"/>
        <v>764108</v>
      </c>
      <c r="AU56" s="84"/>
      <c r="AV56" s="85"/>
      <c r="AW56" s="412">
        <f t="shared" si="40"/>
        <v>255976</v>
      </c>
      <c r="AX56" s="412">
        <f t="shared" si="41"/>
        <v>-9</v>
      </c>
      <c r="AY56" s="419">
        <f t="shared" si="42"/>
        <v>1023904</v>
      </c>
    </row>
    <row r="57" spans="1:52" x14ac:dyDescent="0.25">
      <c r="A57" s="27" t="s">
        <v>180</v>
      </c>
      <c r="B57" s="28" t="s">
        <v>181</v>
      </c>
      <c r="C57" s="29" t="s">
        <v>182</v>
      </c>
      <c r="D57" s="30" t="s">
        <v>90</v>
      </c>
      <c r="E57" s="143">
        <v>2</v>
      </c>
      <c r="F57" s="144">
        <v>288798</v>
      </c>
      <c r="G57" s="145">
        <f t="shared" si="39"/>
        <v>577596</v>
      </c>
      <c r="H57" s="34">
        <f>'[3]APUS '!H992</f>
        <v>288798</v>
      </c>
      <c r="I57" s="34">
        <f t="shared" si="1"/>
        <v>0</v>
      </c>
      <c r="J57" s="35">
        <f>'[3]APUS '!H999</f>
        <v>386975</v>
      </c>
      <c r="K57" s="32">
        <v>1</v>
      </c>
      <c r="L57" s="32">
        <f>ROUNDUP(('[3]APUS '!$I$951/8)/$K$57,0)</f>
        <v>1</v>
      </c>
      <c r="M57" s="36">
        <f t="shared" si="43"/>
        <v>773950</v>
      </c>
      <c r="N57" s="37">
        <f t="shared" si="44"/>
        <v>577596</v>
      </c>
      <c r="O57" s="38">
        <f t="shared" si="45"/>
        <v>577596</v>
      </c>
      <c r="P57" s="39"/>
      <c r="Q57" s="40">
        <f>ROUND('[3]APUS '!H987*E57,0)+ROUND('[3]APUS '!H990*E57,0)</f>
        <v>1535</v>
      </c>
      <c r="R57" s="41">
        <f>ROUND('[3]APUS '!H984*E57,0)</f>
        <v>2971</v>
      </c>
      <c r="S57" s="41">
        <f>ROUND('[3]APUS '!H981*E57,0)</f>
        <v>16486</v>
      </c>
      <c r="T57" s="42">
        <f>ROUND('[3]APUS '!H978*E57,0)</f>
        <v>556604</v>
      </c>
      <c r="U57" s="43">
        <f t="shared" si="46"/>
        <v>577596</v>
      </c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1"/>
      <c r="AG57" s="45"/>
      <c r="AH57" s="46" t="str">
        <f t="shared" si="37"/>
        <v>CAP. 5: ACCESORIOS HIDRAULICOS</v>
      </c>
      <c r="AI57" s="47">
        <f t="shared" si="38"/>
        <v>51</v>
      </c>
      <c r="AJ57" s="47"/>
      <c r="AK57" s="47"/>
      <c r="AL57" s="48"/>
      <c r="AM57" s="49"/>
      <c r="AN57" s="84"/>
      <c r="AP57" s="50">
        <f t="shared" si="47"/>
        <v>2</v>
      </c>
      <c r="AQ57" s="51"/>
      <c r="AR57" s="52">
        <f t="shared" si="48"/>
        <v>2</v>
      </c>
      <c r="AS57" s="53">
        <f t="shared" si="49"/>
        <v>288798</v>
      </c>
      <c r="AT57" s="54">
        <f t="shared" si="50"/>
        <v>577596</v>
      </c>
      <c r="AU57" s="84"/>
      <c r="AV57" s="85"/>
      <c r="AW57" s="412">
        <f t="shared" si="40"/>
        <v>386989</v>
      </c>
      <c r="AX57" s="412">
        <f t="shared" si="41"/>
        <v>-14</v>
      </c>
      <c r="AY57" s="419">
        <f t="shared" si="42"/>
        <v>773978</v>
      </c>
    </row>
    <row r="58" spans="1:52" x14ac:dyDescent="0.25">
      <c r="A58" s="27" t="s">
        <v>183</v>
      </c>
      <c r="B58" s="28" t="s">
        <v>184</v>
      </c>
      <c r="C58" s="29" t="s">
        <v>185</v>
      </c>
      <c r="D58" s="30" t="s">
        <v>90</v>
      </c>
      <c r="E58" s="143">
        <v>2</v>
      </c>
      <c r="F58" s="144">
        <v>152024</v>
      </c>
      <c r="G58" s="145">
        <f t="shared" si="39"/>
        <v>304048</v>
      </c>
      <c r="H58" s="34">
        <f>'[3]APUS '!H1022</f>
        <v>152024</v>
      </c>
      <c r="I58" s="34">
        <f t="shared" si="1"/>
        <v>0</v>
      </c>
      <c r="J58" s="35">
        <f>'[3]APUS '!H1029</f>
        <v>203705</v>
      </c>
      <c r="K58" s="32">
        <v>1</v>
      </c>
      <c r="L58" s="32">
        <f>ROUNDUP(('[3]APUS '!$I$981/8)/$K$58,0)</f>
        <v>1</v>
      </c>
      <c r="M58" s="36">
        <f t="shared" si="43"/>
        <v>407410</v>
      </c>
      <c r="N58" s="37">
        <f t="shared" si="44"/>
        <v>304048</v>
      </c>
      <c r="O58" s="38">
        <f t="shared" si="45"/>
        <v>304048</v>
      </c>
      <c r="P58" s="39"/>
      <c r="Q58" s="40">
        <f>ROUND('[3]APUS '!H1017*E58,0)+ROUND('[3]APUS '!H1020*E58,0)</f>
        <v>3659</v>
      </c>
      <c r="R58" s="41">
        <f>ROUND('[3]APUS '!H1014*E58,0)</f>
        <v>5557</v>
      </c>
      <c r="S58" s="41">
        <f>ROUND('[3]APUS '!H1011*E58,0)</f>
        <v>82432</v>
      </c>
      <c r="T58" s="42">
        <f>ROUND('[3]APUS '!H1008*E58,0)</f>
        <v>212400</v>
      </c>
      <c r="U58" s="43">
        <f t="shared" si="46"/>
        <v>304048</v>
      </c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1"/>
      <c r="AG58" s="45"/>
      <c r="AH58" s="46" t="str">
        <f t="shared" si="37"/>
        <v>CAP. 5: ACCESORIOS HIDRAULICOS</v>
      </c>
      <c r="AI58" s="47">
        <f t="shared" si="38"/>
        <v>51</v>
      </c>
      <c r="AJ58" s="47"/>
      <c r="AK58" s="47"/>
      <c r="AL58" s="48"/>
      <c r="AM58" s="49"/>
      <c r="AN58" s="84"/>
      <c r="AP58" s="50">
        <f t="shared" si="47"/>
        <v>2</v>
      </c>
      <c r="AQ58" s="51"/>
      <c r="AR58" s="52">
        <f t="shared" si="48"/>
        <v>2</v>
      </c>
      <c r="AS58" s="53">
        <f t="shared" si="49"/>
        <v>152024</v>
      </c>
      <c r="AT58" s="54">
        <f t="shared" si="50"/>
        <v>304048</v>
      </c>
      <c r="AU58" s="84"/>
      <c r="AV58" s="85"/>
      <c r="AW58" s="412">
        <f t="shared" si="40"/>
        <v>203712</v>
      </c>
      <c r="AX58" s="412">
        <f t="shared" si="41"/>
        <v>-7</v>
      </c>
      <c r="AY58" s="419">
        <f t="shared" si="42"/>
        <v>407424</v>
      </c>
    </row>
    <row r="59" spans="1:52" x14ac:dyDescent="0.25">
      <c r="A59" s="27" t="s">
        <v>186</v>
      </c>
      <c r="B59" s="28" t="s">
        <v>187</v>
      </c>
      <c r="C59" s="29" t="s">
        <v>188</v>
      </c>
      <c r="D59" s="30" t="s">
        <v>90</v>
      </c>
      <c r="E59" s="143">
        <v>10</v>
      </c>
      <c r="F59" s="144">
        <v>351815</v>
      </c>
      <c r="G59" s="145">
        <f t="shared" si="39"/>
        <v>3518150</v>
      </c>
      <c r="H59" s="34">
        <f>'[3]APUS '!H1052</f>
        <v>351815</v>
      </c>
      <c r="I59" s="34">
        <f t="shared" si="1"/>
        <v>0</v>
      </c>
      <c r="J59" s="35">
        <f>'[3]APUS '!H1059</f>
        <v>471415</v>
      </c>
      <c r="K59" s="32">
        <v>1</v>
      </c>
      <c r="L59" s="32">
        <f>ROUNDUP(('[3]APUS '!$I$1011/8)/$K$59,0)</f>
        <v>3</v>
      </c>
      <c r="M59" s="36">
        <f t="shared" si="43"/>
        <v>4714150</v>
      </c>
      <c r="N59" s="37">
        <f t="shared" si="44"/>
        <v>3518150</v>
      </c>
      <c r="O59" s="38">
        <f t="shared" si="45"/>
        <v>3518150</v>
      </c>
      <c r="P59" s="39"/>
      <c r="Q59" s="40">
        <f>ROUND('[3]APUS '!H1047*E59,0)+ROUND('[3]APUS '!H1050*E59,0)</f>
        <v>5448</v>
      </c>
      <c r="R59" s="41">
        <f>ROUND('[3]APUS '!H1044*E59,0)</f>
        <v>55537</v>
      </c>
      <c r="S59" s="41">
        <f>ROUND('[3]APUS '!H1041*E59,0)</f>
        <v>412160</v>
      </c>
      <c r="T59" s="42">
        <f>ROUND('[3]APUS '!H1038*E59,0)</f>
        <v>3045000</v>
      </c>
      <c r="U59" s="43">
        <f t="shared" si="46"/>
        <v>3518145</v>
      </c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1"/>
      <c r="AG59" s="45"/>
      <c r="AH59" s="46" t="str">
        <f t="shared" si="37"/>
        <v>CAP. 5: ACCESORIOS HIDRAULICOS</v>
      </c>
      <c r="AI59" s="47">
        <f t="shared" si="38"/>
        <v>51</v>
      </c>
      <c r="AJ59" s="47"/>
      <c r="AK59" s="47"/>
      <c r="AL59" s="48"/>
      <c r="AM59" s="49"/>
      <c r="AN59" s="84"/>
      <c r="AP59" s="50">
        <f t="shared" si="47"/>
        <v>10</v>
      </c>
      <c r="AQ59" s="51"/>
      <c r="AR59" s="52">
        <f t="shared" si="48"/>
        <v>10</v>
      </c>
      <c r="AS59" s="53">
        <f t="shared" si="49"/>
        <v>351815</v>
      </c>
      <c r="AT59" s="54">
        <f t="shared" si="50"/>
        <v>3518150</v>
      </c>
      <c r="AU59" s="84"/>
      <c r="AV59" s="85"/>
      <c r="AW59" s="412">
        <f t="shared" si="40"/>
        <v>471432</v>
      </c>
      <c r="AX59" s="412">
        <f t="shared" si="41"/>
        <v>-17</v>
      </c>
      <c r="AY59" s="419">
        <f t="shared" si="42"/>
        <v>4714320</v>
      </c>
    </row>
    <row r="60" spans="1:52" x14ac:dyDescent="0.25">
      <c r="A60" s="27" t="s">
        <v>189</v>
      </c>
      <c r="B60" s="28" t="s">
        <v>190</v>
      </c>
      <c r="C60" s="29" t="s">
        <v>191</v>
      </c>
      <c r="D60" s="30" t="s">
        <v>90</v>
      </c>
      <c r="E60" s="143">
        <v>13</v>
      </c>
      <c r="F60" s="144">
        <v>111668</v>
      </c>
      <c r="G60" s="145">
        <f t="shared" si="39"/>
        <v>1451684</v>
      </c>
      <c r="H60" s="34">
        <f>'[3]APUS '!H1081</f>
        <v>111668</v>
      </c>
      <c r="I60" s="34">
        <f t="shared" si="1"/>
        <v>0</v>
      </c>
      <c r="J60" s="35">
        <f>'[3]APUS '!H1088</f>
        <v>149630</v>
      </c>
      <c r="K60" s="32">
        <v>1</v>
      </c>
      <c r="L60" s="32">
        <f>ROUNDUP(('[3]APUS '!$I$1043/8)/$K$60,0)</f>
        <v>1</v>
      </c>
      <c r="M60" s="36">
        <f t="shared" si="43"/>
        <v>1945190</v>
      </c>
      <c r="N60" s="37">
        <f t="shared" si="44"/>
        <v>1451684</v>
      </c>
      <c r="O60" s="38">
        <f t="shared" si="45"/>
        <v>1451684</v>
      </c>
      <c r="P60" s="39"/>
      <c r="Q60" s="40">
        <f>ROUND('[3]APUS '!H1047*E60,0)+ROUND('[3]APUS '!H1079*E60,0)</f>
        <v>22039</v>
      </c>
      <c r="R60" s="41">
        <f>ROUND('[3]APUS '!H1076*E60,0)</f>
        <v>4810</v>
      </c>
      <c r="S60" s="41">
        <f>ROUND('[3]APUS '!H1073*E60,0)</f>
        <v>107162</v>
      </c>
      <c r="T60" s="42">
        <f>ROUND('[3]APUS '!H1070*E60,0)</f>
        <v>1317667</v>
      </c>
      <c r="U60" s="43">
        <f t="shared" si="46"/>
        <v>1451678</v>
      </c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1"/>
      <c r="AG60" s="45"/>
      <c r="AH60" s="46" t="str">
        <f t="shared" si="37"/>
        <v>CAP. 5: ACCESORIOS HIDRAULICOS</v>
      </c>
      <c r="AI60" s="47">
        <f t="shared" si="38"/>
        <v>51</v>
      </c>
      <c r="AJ60" s="47"/>
      <c r="AK60" s="47"/>
      <c r="AL60" s="48"/>
      <c r="AM60" s="49"/>
      <c r="AN60" s="84"/>
      <c r="AP60" s="50">
        <f t="shared" si="47"/>
        <v>13</v>
      </c>
      <c r="AQ60" s="51"/>
      <c r="AR60" s="52">
        <f t="shared" si="48"/>
        <v>13</v>
      </c>
      <c r="AS60" s="53">
        <f t="shared" si="49"/>
        <v>111668</v>
      </c>
      <c r="AT60" s="54">
        <f t="shared" si="50"/>
        <v>1451684</v>
      </c>
      <c r="AU60" s="84"/>
      <c r="AV60" s="85"/>
      <c r="AW60" s="412">
        <f t="shared" si="40"/>
        <v>149635</v>
      </c>
      <c r="AX60" s="412">
        <f t="shared" si="41"/>
        <v>-5</v>
      </c>
      <c r="AY60" s="419">
        <f t="shared" si="42"/>
        <v>1945255</v>
      </c>
    </row>
    <row r="61" spans="1:52" x14ac:dyDescent="0.25">
      <c r="A61" s="27" t="s">
        <v>192</v>
      </c>
      <c r="B61" s="28" t="s">
        <v>193</v>
      </c>
      <c r="C61" s="29" t="s">
        <v>194</v>
      </c>
      <c r="D61" s="30" t="s">
        <v>90</v>
      </c>
      <c r="E61" s="143">
        <v>22</v>
      </c>
      <c r="F61" s="144">
        <v>51306</v>
      </c>
      <c r="G61" s="145">
        <f t="shared" si="39"/>
        <v>1128732</v>
      </c>
      <c r="H61" s="34">
        <f>'[3]APUS '!H1145</f>
        <v>51306</v>
      </c>
      <c r="I61" s="34">
        <f t="shared" si="1"/>
        <v>0</v>
      </c>
      <c r="J61" s="35">
        <f>'[3]APUS '!H1152</f>
        <v>68747</v>
      </c>
      <c r="K61" s="32">
        <v>1</v>
      </c>
      <c r="L61" s="32">
        <f>ROUNDUP(('[3]APUS '!$I$1104/8)/$K$61,0)</f>
        <v>1</v>
      </c>
      <c r="M61" s="36">
        <f t="shared" si="43"/>
        <v>1512434</v>
      </c>
      <c r="N61" s="37">
        <f t="shared" si="44"/>
        <v>1128732</v>
      </c>
      <c r="O61" s="38">
        <f t="shared" si="45"/>
        <v>1128732</v>
      </c>
      <c r="P61" s="39"/>
      <c r="Q61" s="40">
        <f>ROUND('[3]APUS '!H1140*E61,0)+ROUND('[3]APUS '!H1143*E61,0)</f>
        <v>37297</v>
      </c>
      <c r="R61" s="41">
        <f>ROUND('[3]APUS '!H1137*E61,0)</f>
        <v>1913</v>
      </c>
      <c r="S61" s="41">
        <f>ROUND('[3]APUS '!H1134*E61,0)</f>
        <v>68006</v>
      </c>
      <c r="T61" s="42">
        <f>ROUND('[3]APUS '!H1131*E61,0)</f>
        <v>1021523</v>
      </c>
      <c r="U61" s="43">
        <f t="shared" si="46"/>
        <v>1128739</v>
      </c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1"/>
      <c r="AG61" s="45"/>
      <c r="AH61" s="46" t="str">
        <f t="shared" si="37"/>
        <v>CAP. 5: ACCESORIOS HIDRAULICOS</v>
      </c>
      <c r="AI61" s="47">
        <f t="shared" si="38"/>
        <v>51</v>
      </c>
      <c r="AJ61" s="47"/>
      <c r="AK61" s="47"/>
      <c r="AL61" s="48"/>
      <c r="AM61" s="49"/>
      <c r="AN61" s="84"/>
      <c r="AP61" s="50">
        <f t="shared" si="47"/>
        <v>22</v>
      </c>
      <c r="AQ61" s="51"/>
      <c r="AR61" s="52">
        <f t="shared" si="48"/>
        <v>22</v>
      </c>
      <c r="AS61" s="53">
        <f t="shared" si="49"/>
        <v>51306</v>
      </c>
      <c r="AT61" s="54">
        <f t="shared" si="50"/>
        <v>1128732</v>
      </c>
      <c r="AU61" s="84"/>
      <c r="AV61" s="85"/>
      <c r="AW61" s="412">
        <f t="shared" si="40"/>
        <v>68750</v>
      </c>
      <c r="AX61" s="412">
        <f t="shared" si="41"/>
        <v>-3</v>
      </c>
      <c r="AY61" s="419">
        <f t="shared" si="42"/>
        <v>1512500</v>
      </c>
    </row>
    <row r="62" spans="1:52" x14ac:dyDescent="0.25">
      <c r="A62" s="27" t="s">
        <v>195</v>
      </c>
      <c r="B62" s="28" t="s">
        <v>196</v>
      </c>
      <c r="C62" s="29" t="s">
        <v>197</v>
      </c>
      <c r="D62" s="30" t="s">
        <v>90</v>
      </c>
      <c r="E62" s="143">
        <v>23</v>
      </c>
      <c r="F62" s="144">
        <v>479462</v>
      </c>
      <c r="G62" s="145">
        <f t="shared" si="39"/>
        <v>11027626</v>
      </c>
      <c r="H62" s="34">
        <f>'[3]APUS '!H1175</f>
        <v>479462</v>
      </c>
      <c r="I62" s="34">
        <f t="shared" si="1"/>
        <v>0</v>
      </c>
      <c r="J62" s="35">
        <f>'[3]APUS '!H1182</f>
        <v>642455</v>
      </c>
      <c r="K62" s="32">
        <v>1</v>
      </c>
      <c r="L62" s="32">
        <f>ROUNDUP(('[3]APUS '!$I$1134/8)/$K$62,0)</f>
        <v>9</v>
      </c>
      <c r="M62" s="36">
        <f t="shared" si="43"/>
        <v>14776465</v>
      </c>
      <c r="N62" s="37">
        <f t="shared" si="44"/>
        <v>11027626</v>
      </c>
      <c r="O62" s="38">
        <f t="shared" si="45"/>
        <v>11027626</v>
      </c>
      <c r="P62" s="39"/>
      <c r="Q62" s="40">
        <f>ROUND('[3]APUS '!H1170*E62,0)+ROUND('[3]APUS '!H1173*E62,0)</f>
        <v>44243</v>
      </c>
      <c r="R62" s="41">
        <f>ROUND('[3]APUS '!H1167*E62,0)</f>
        <v>170072</v>
      </c>
      <c r="S62" s="41">
        <f>ROUND('[3]APUS '!H1164*E62,0)</f>
        <v>1421952</v>
      </c>
      <c r="T62" s="42">
        <f>ROUND('[3]APUS '!H1161*E62,0)</f>
        <v>9391360</v>
      </c>
      <c r="U62" s="43">
        <f t="shared" si="46"/>
        <v>11027627</v>
      </c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1"/>
      <c r="AG62" s="45"/>
      <c r="AH62" s="46" t="str">
        <f t="shared" si="37"/>
        <v>CAP. 5: ACCESORIOS HIDRAULICOS</v>
      </c>
      <c r="AI62" s="47">
        <f t="shared" si="38"/>
        <v>51</v>
      </c>
      <c r="AJ62" s="47"/>
      <c r="AK62" s="47"/>
      <c r="AL62" s="48"/>
      <c r="AM62" s="49"/>
      <c r="AN62" s="84"/>
      <c r="AP62" s="50">
        <f t="shared" si="47"/>
        <v>23</v>
      </c>
      <c r="AQ62" s="51"/>
      <c r="AR62" s="52">
        <f t="shared" si="48"/>
        <v>23</v>
      </c>
      <c r="AS62" s="53">
        <f t="shared" si="49"/>
        <v>479462</v>
      </c>
      <c r="AT62" s="54">
        <f t="shared" si="50"/>
        <v>11027626</v>
      </c>
      <c r="AU62" s="84"/>
      <c r="AV62" s="85"/>
      <c r="AW62" s="412">
        <f t="shared" si="40"/>
        <v>642479</v>
      </c>
      <c r="AX62" s="412">
        <f t="shared" si="41"/>
        <v>-24</v>
      </c>
      <c r="AY62" s="419">
        <f t="shared" si="42"/>
        <v>14777017</v>
      </c>
      <c r="AZ62">
        <f>820000*0.95</f>
        <v>779000</v>
      </c>
    </row>
    <row r="63" spans="1:52" x14ac:dyDescent="0.25">
      <c r="A63" s="27" t="s">
        <v>198</v>
      </c>
      <c r="B63" s="28" t="s">
        <v>199</v>
      </c>
      <c r="C63" s="29" t="s">
        <v>200</v>
      </c>
      <c r="D63" s="30" t="s">
        <v>90</v>
      </c>
      <c r="E63" s="143">
        <v>31</v>
      </c>
      <c r="F63" s="144">
        <v>99517</v>
      </c>
      <c r="G63" s="145">
        <f t="shared" si="39"/>
        <v>3085027</v>
      </c>
      <c r="H63" s="34">
        <f>'[3]APUS '!H1205</f>
        <v>99517</v>
      </c>
      <c r="I63" s="34">
        <f t="shared" si="1"/>
        <v>0</v>
      </c>
      <c r="J63" s="35">
        <f>'[3]APUS '!H1212</f>
        <v>133348</v>
      </c>
      <c r="K63" s="32">
        <v>1</v>
      </c>
      <c r="L63" s="32">
        <f>ROUNDUP(('[3]APUS '!$I$1167/8)/$K$63,0)</f>
        <v>2</v>
      </c>
      <c r="M63" s="36">
        <f t="shared" si="43"/>
        <v>4133788</v>
      </c>
      <c r="N63" s="37">
        <f t="shared" si="44"/>
        <v>3085027</v>
      </c>
      <c r="O63" s="38">
        <f t="shared" si="45"/>
        <v>3085027</v>
      </c>
      <c r="P63" s="39"/>
      <c r="Q63" s="40">
        <f>ROUND('[3]APUS '!H1170*E63,0)+ROUND('[3]APUS '!H1203*E63,0)</f>
        <v>12049</v>
      </c>
      <c r="R63" s="41">
        <f>ROUND('[3]APUS '!H1200*E63,0)</f>
        <v>11470</v>
      </c>
      <c r="S63" s="41">
        <f>ROUND('[3]APUS '!H1197*E63,0)</f>
        <v>255539</v>
      </c>
      <c r="T63" s="42">
        <f>ROUND('[3]APUS '!H1194*E63,0)</f>
        <v>2805965</v>
      </c>
      <c r="U63" s="43">
        <f t="shared" si="46"/>
        <v>3085023</v>
      </c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1"/>
      <c r="AG63" s="45"/>
      <c r="AH63" s="46" t="str">
        <f t="shared" si="37"/>
        <v>CAP. 5: ACCESORIOS HIDRAULICOS</v>
      </c>
      <c r="AI63" s="47">
        <f t="shared" si="38"/>
        <v>51</v>
      </c>
      <c r="AJ63" s="47"/>
      <c r="AK63" s="47"/>
      <c r="AL63" s="48"/>
      <c r="AM63" s="49"/>
      <c r="AN63" s="84"/>
      <c r="AP63" s="50">
        <f t="shared" si="47"/>
        <v>31</v>
      </c>
      <c r="AQ63" s="51"/>
      <c r="AR63" s="52">
        <f t="shared" si="48"/>
        <v>31</v>
      </c>
      <c r="AS63" s="53">
        <f t="shared" si="49"/>
        <v>99517</v>
      </c>
      <c r="AT63" s="54">
        <f t="shared" si="50"/>
        <v>3085027</v>
      </c>
      <c r="AU63" s="84"/>
      <c r="AV63" s="85"/>
      <c r="AW63" s="412">
        <f t="shared" si="40"/>
        <v>133353</v>
      </c>
      <c r="AX63" s="412">
        <f t="shared" si="41"/>
        <v>-5</v>
      </c>
      <c r="AY63" s="419">
        <f t="shared" si="42"/>
        <v>4133943</v>
      </c>
    </row>
    <row r="64" spans="1:52" x14ac:dyDescent="0.25">
      <c r="A64" s="27" t="s">
        <v>201</v>
      </c>
      <c r="B64" s="28" t="s">
        <v>202</v>
      </c>
      <c r="C64" s="29" t="s">
        <v>203</v>
      </c>
      <c r="D64" s="30" t="s">
        <v>90</v>
      </c>
      <c r="E64" s="143">
        <v>11</v>
      </c>
      <c r="F64" s="144">
        <v>2119995</v>
      </c>
      <c r="G64" s="145">
        <f t="shared" si="39"/>
        <v>23319945</v>
      </c>
      <c r="H64" s="34">
        <f>'[3]APUS '!H1235</f>
        <v>2119995</v>
      </c>
      <c r="I64" s="34">
        <f t="shared" si="1"/>
        <v>0</v>
      </c>
      <c r="J64" s="35">
        <f>'[3]APUS '!H1242</f>
        <v>2840687</v>
      </c>
      <c r="K64" s="32">
        <v>1</v>
      </c>
      <c r="L64" s="32">
        <f>ROUNDUP(('[3]APUS '!$I$1194/8)/$K$64,0)</f>
        <v>10</v>
      </c>
      <c r="M64" s="36">
        <f t="shared" si="43"/>
        <v>31247557</v>
      </c>
      <c r="N64" s="37">
        <f t="shared" si="44"/>
        <v>23319945</v>
      </c>
      <c r="O64" s="38">
        <f t="shared" si="45"/>
        <v>23319945</v>
      </c>
      <c r="P64" s="39"/>
      <c r="Q64" s="40">
        <f>ROUND('[3]APUS '!H1230*E64,0)+ROUND('[3]APUS '!H1233*E64,0)</f>
        <v>20026</v>
      </c>
      <c r="R64" s="41">
        <f>ROUND('[3]APUS '!H1227*E64,0)</f>
        <v>6105</v>
      </c>
      <c r="S64" s="41">
        <f>ROUND('[3]APUS '!H1224*E64,0)</f>
        <v>2192729</v>
      </c>
      <c r="T64" s="42">
        <f>ROUND('[3]APUS '!H1221*E64,0)</f>
        <v>21101080</v>
      </c>
      <c r="U64" s="43">
        <f t="shared" si="46"/>
        <v>23319940</v>
      </c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1"/>
      <c r="AG64" s="45"/>
      <c r="AH64" s="46" t="str">
        <f t="shared" si="37"/>
        <v>CAP. 5: ACCESORIOS HIDRAULICOS</v>
      </c>
      <c r="AI64" s="47">
        <f t="shared" si="38"/>
        <v>51</v>
      </c>
      <c r="AJ64" s="47"/>
      <c r="AK64" s="47"/>
      <c r="AL64" s="48"/>
      <c r="AM64" s="49"/>
      <c r="AN64" s="84"/>
      <c r="AP64" s="50">
        <f t="shared" si="47"/>
        <v>11</v>
      </c>
      <c r="AQ64" s="51"/>
      <c r="AR64" s="52">
        <f t="shared" si="48"/>
        <v>11</v>
      </c>
      <c r="AS64" s="53">
        <f t="shared" si="49"/>
        <v>2119995</v>
      </c>
      <c r="AT64" s="54">
        <f t="shared" si="50"/>
        <v>23319945</v>
      </c>
      <c r="AU64" s="84"/>
      <c r="AV64" s="85"/>
      <c r="AW64" s="412">
        <f t="shared" si="40"/>
        <v>2840793</v>
      </c>
      <c r="AX64" s="412">
        <f t="shared" si="41"/>
        <v>-106</v>
      </c>
      <c r="AY64" s="419">
        <f t="shared" si="42"/>
        <v>31248723</v>
      </c>
    </row>
    <row r="65" spans="1:51" x14ac:dyDescent="0.25">
      <c r="A65" s="27" t="s">
        <v>204</v>
      </c>
      <c r="B65" s="28" t="s">
        <v>205</v>
      </c>
      <c r="C65" s="29" t="s">
        <v>206</v>
      </c>
      <c r="D65" s="30" t="s">
        <v>90</v>
      </c>
      <c r="E65" s="143">
        <v>1</v>
      </c>
      <c r="F65" s="144">
        <v>515729</v>
      </c>
      <c r="G65" s="145">
        <f t="shared" si="39"/>
        <v>515729</v>
      </c>
      <c r="H65" s="34">
        <f>'[3]APUS '!H1265</f>
        <v>515729</v>
      </c>
      <c r="I65" s="34">
        <f t="shared" si="1"/>
        <v>0</v>
      </c>
      <c r="J65" s="35">
        <f>'[3]APUS '!H1272</f>
        <v>691051</v>
      </c>
      <c r="K65" s="32">
        <v>1</v>
      </c>
      <c r="L65" s="32">
        <f>ROUNDUP(('[3]APUS '!$I$1224/8)/$K$65,0)</f>
        <v>1</v>
      </c>
      <c r="M65" s="36">
        <f t="shared" si="43"/>
        <v>691051</v>
      </c>
      <c r="N65" s="37">
        <f t="shared" si="44"/>
        <v>515729</v>
      </c>
      <c r="O65" s="38">
        <f t="shared" si="45"/>
        <v>515729</v>
      </c>
      <c r="P65" s="39"/>
      <c r="Q65" s="40">
        <f>ROUND('[3]APUS '!H1260*E65,0)+ROUND('[3]APUS '!H1263*E65,0)</f>
        <v>662</v>
      </c>
      <c r="R65" s="41">
        <f>ROUND('[3]APUS '!H1257*E65,0)</f>
        <v>463</v>
      </c>
      <c r="S65" s="41">
        <f>ROUND('[3]APUS '!H1254*E65,0)</f>
        <v>71193</v>
      </c>
      <c r="T65" s="42">
        <f>ROUND('[3]APUS '!H1251*E65,0)</f>
        <v>443412</v>
      </c>
      <c r="U65" s="43">
        <f t="shared" si="46"/>
        <v>515730</v>
      </c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1"/>
      <c r="AG65" s="45"/>
      <c r="AH65" s="46" t="str">
        <f t="shared" si="37"/>
        <v>CAP. 5: ACCESORIOS HIDRAULICOS</v>
      </c>
      <c r="AI65" s="47">
        <f t="shared" si="38"/>
        <v>51</v>
      </c>
      <c r="AJ65" s="47"/>
      <c r="AK65" s="47"/>
      <c r="AL65" s="48"/>
      <c r="AM65" s="49"/>
      <c r="AN65" s="84"/>
      <c r="AP65" s="50">
        <f t="shared" si="47"/>
        <v>1</v>
      </c>
      <c r="AQ65" s="51"/>
      <c r="AR65" s="52">
        <f t="shared" si="48"/>
        <v>1</v>
      </c>
      <c r="AS65" s="53">
        <f t="shared" si="49"/>
        <v>515729</v>
      </c>
      <c r="AT65" s="54">
        <f t="shared" si="50"/>
        <v>515729</v>
      </c>
      <c r="AU65" s="84"/>
      <c r="AV65" s="85"/>
      <c r="AW65" s="412">
        <f t="shared" si="40"/>
        <v>691077</v>
      </c>
      <c r="AX65" s="412">
        <f t="shared" si="41"/>
        <v>-26</v>
      </c>
      <c r="AY65" s="419">
        <f t="shared" si="42"/>
        <v>691077</v>
      </c>
    </row>
    <row r="66" spans="1:51" x14ac:dyDescent="0.25">
      <c r="A66" s="27" t="s">
        <v>207</v>
      </c>
      <c r="B66" s="28" t="s">
        <v>208</v>
      </c>
      <c r="C66" s="29" t="s">
        <v>209</v>
      </c>
      <c r="D66" s="30" t="s">
        <v>90</v>
      </c>
      <c r="E66" s="143">
        <v>27</v>
      </c>
      <c r="F66" s="144">
        <v>191382</v>
      </c>
      <c r="G66" s="145">
        <f t="shared" si="39"/>
        <v>5167314</v>
      </c>
      <c r="H66" s="34">
        <f>'[3]APUS '!H1297</f>
        <v>191382</v>
      </c>
      <c r="I66" s="34">
        <f t="shared" si="1"/>
        <v>0</v>
      </c>
      <c r="J66" s="35">
        <f>'[3]APUS '!H1304</f>
        <v>256442</v>
      </c>
      <c r="K66" s="32">
        <v>1</v>
      </c>
      <c r="L66" s="32">
        <f>ROUNDUP(('[3]APUS '!$I$1256/8)/$K$66,0)</f>
        <v>2</v>
      </c>
      <c r="M66" s="36">
        <f t="shared" si="43"/>
        <v>6923934</v>
      </c>
      <c r="N66" s="37">
        <f t="shared" si="44"/>
        <v>5167314</v>
      </c>
      <c r="O66" s="38">
        <f t="shared" si="45"/>
        <v>5167314</v>
      </c>
      <c r="P66" s="39"/>
      <c r="Q66" s="40">
        <f>ROUND('[3]APUS '!H1292*E66,0)+ROUND('[3]APUS '!H1295*E66,0)</f>
        <v>10494</v>
      </c>
      <c r="R66" s="41">
        <f>ROUND('[3]APUS '!H1289*E66,0)</f>
        <v>4995</v>
      </c>
      <c r="S66" s="41">
        <f>ROUND('[3]APUS '!H1286*E66,0)</f>
        <v>384440</v>
      </c>
      <c r="T66" s="42">
        <f>ROUND('[3]APUS '!H1283*E66,0)</f>
        <v>4767389</v>
      </c>
      <c r="U66" s="43">
        <f t="shared" si="46"/>
        <v>5167318</v>
      </c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1"/>
      <c r="AG66" s="45"/>
      <c r="AH66" s="46" t="str">
        <f t="shared" si="37"/>
        <v>CAP. 5: ACCESORIOS HIDRAULICOS</v>
      </c>
      <c r="AI66" s="47">
        <f t="shared" si="38"/>
        <v>51</v>
      </c>
      <c r="AJ66" s="47"/>
      <c r="AK66" s="47"/>
      <c r="AL66" s="48"/>
      <c r="AM66" s="49"/>
      <c r="AN66" s="84"/>
      <c r="AP66" s="50">
        <f t="shared" si="47"/>
        <v>27</v>
      </c>
      <c r="AQ66" s="51"/>
      <c r="AR66" s="52">
        <f t="shared" si="48"/>
        <v>27</v>
      </c>
      <c r="AS66" s="53">
        <f t="shared" si="49"/>
        <v>191382</v>
      </c>
      <c r="AT66" s="54">
        <f t="shared" si="50"/>
        <v>5167314</v>
      </c>
      <c r="AU66" s="84"/>
      <c r="AV66" s="85"/>
      <c r="AW66" s="412">
        <f t="shared" si="40"/>
        <v>256452</v>
      </c>
      <c r="AX66" s="412">
        <f t="shared" si="41"/>
        <v>-10</v>
      </c>
      <c r="AY66" s="419">
        <f t="shared" si="42"/>
        <v>6924204</v>
      </c>
    </row>
    <row r="67" spans="1:51" x14ac:dyDescent="0.25">
      <c r="A67" s="27" t="s">
        <v>210</v>
      </c>
      <c r="B67" s="28" t="s">
        <v>211</v>
      </c>
      <c r="C67" s="29" t="s">
        <v>212</v>
      </c>
      <c r="D67" s="30" t="s">
        <v>90</v>
      </c>
      <c r="E67" s="143">
        <v>22</v>
      </c>
      <c r="F67" s="144">
        <v>213082</v>
      </c>
      <c r="G67" s="145">
        <f t="shared" si="39"/>
        <v>4687804</v>
      </c>
      <c r="H67" s="34">
        <f>'[3]APUS '!H1329</f>
        <v>213082</v>
      </c>
      <c r="I67" s="34">
        <f t="shared" si="1"/>
        <v>0</v>
      </c>
      <c r="J67" s="35">
        <f>'[3]APUS '!H1336</f>
        <v>285519</v>
      </c>
      <c r="K67" s="32">
        <v>1</v>
      </c>
      <c r="L67" s="32">
        <f>ROUNDUP(('[3]APUS '!$I$1288/8)/$K$67,0)</f>
        <v>2</v>
      </c>
      <c r="M67" s="36">
        <f t="shared" si="43"/>
        <v>6281418</v>
      </c>
      <c r="N67" s="37">
        <f t="shared" si="44"/>
        <v>4687804</v>
      </c>
      <c r="O67" s="38">
        <f t="shared" si="45"/>
        <v>4687804</v>
      </c>
      <c r="P67" s="39"/>
      <c r="Q67" s="40">
        <f>ROUND('[3]APUS '!H1324*E67,0)+ROUND('[3]APUS '!H1327*E67,0)</f>
        <v>26500</v>
      </c>
      <c r="R67" s="41">
        <f>ROUND('[3]APUS '!H1321*E67,0)</f>
        <v>4070</v>
      </c>
      <c r="S67" s="41">
        <f>ROUND('[3]APUS '!H1318*E67,0)</f>
        <v>313247</v>
      </c>
      <c r="T67" s="42">
        <f>ROUND('[3]APUS '!H1315*E67,0)</f>
        <v>4343987</v>
      </c>
      <c r="U67" s="43">
        <f t="shared" si="46"/>
        <v>4687804</v>
      </c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1"/>
      <c r="AG67" s="45"/>
      <c r="AH67" s="46" t="str">
        <f t="shared" si="37"/>
        <v>CAP. 5: ACCESORIOS HIDRAULICOS</v>
      </c>
      <c r="AI67" s="47">
        <f t="shared" si="38"/>
        <v>51</v>
      </c>
      <c r="AJ67" s="47"/>
      <c r="AK67" s="47"/>
      <c r="AL67" s="48"/>
      <c r="AM67" s="49"/>
      <c r="AN67" s="84"/>
      <c r="AP67" s="50">
        <f t="shared" si="47"/>
        <v>22</v>
      </c>
      <c r="AQ67" s="51"/>
      <c r="AR67" s="52">
        <f t="shared" si="48"/>
        <v>22</v>
      </c>
      <c r="AS67" s="53">
        <f t="shared" si="49"/>
        <v>213082</v>
      </c>
      <c r="AT67" s="54">
        <f t="shared" si="50"/>
        <v>4687804</v>
      </c>
      <c r="AU67" s="84"/>
      <c r="AV67" s="85"/>
      <c r="AW67" s="412">
        <f t="shared" si="40"/>
        <v>285530</v>
      </c>
      <c r="AX67" s="412">
        <f t="shared" si="41"/>
        <v>-11</v>
      </c>
      <c r="AY67" s="419">
        <f t="shared" si="42"/>
        <v>6281660</v>
      </c>
    </row>
    <row r="68" spans="1:51" x14ac:dyDescent="0.25">
      <c r="A68" s="27" t="s">
        <v>213</v>
      </c>
      <c r="B68" s="28" t="s">
        <v>214</v>
      </c>
      <c r="C68" s="29" t="s">
        <v>215</v>
      </c>
      <c r="D68" s="30" t="s">
        <v>90</v>
      </c>
      <c r="E68" s="143">
        <v>2</v>
      </c>
      <c r="F68" s="144">
        <v>135345</v>
      </c>
      <c r="G68" s="145">
        <f t="shared" si="39"/>
        <v>270690</v>
      </c>
      <c r="H68" s="34">
        <f>'[3]APUS '!H1357</f>
        <v>135345</v>
      </c>
      <c r="I68" s="34">
        <f t="shared" si="1"/>
        <v>0</v>
      </c>
      <c r="J68" s="35">
        <f>'[3]APUS '!H1364</f>
        <v>181356</v>
      </c>
      <c r="K68" s="32">
        <v>1</v>
      </c>
      <c r="L68" s="32">
        <f>ROUNDUP(('[3]APUS '!$I$1319/8)/$K$68,0)</f>
        <v>1</v>
      </c>
      <c r="M68" s="36">
        <f t="shared" si="43"/>
        <v>362712</v>
      </c>
      <c r="N68" s="37">
        <f t="shared" si="44"/>
        <v>270690</v>
      </c>
      <c r="O68" s="38">
        <f t="shared" si="45"/>
        <v>270690</v>
      </c>
      <c r="P68" s="39"/>
      <c r="Q68" s="40">
        <f>ROUND('[3]APUS '!H1324*E68,0)+ROUND('[3]APUS '!H1355*E68,0)</f>
        <v>877</v>
      </c>
      <c r="R68" s="41">
        <f>ROUND('[3]APUS '!H1352*E68,0)</f>
        <v>185</v>
      </c>
      <c r="S68" s="41">
        <f>ROUND('[3]APUS '!H1349*E68,0)</f>
        <v>61824</v>
      </c>
      <c r="T68" s="42">
        <f>ROUND('[3]APUS '!H1346*E68,0)</f>
        <v>207804</v>
      </c>
      <c r="U68" s="43">
        <f t="shared" si="46"/>
        <v>270690</v>
      </c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1"/>
      <c r="AG68" s="45"/>
      <c r="AH68" s="46" t="str">
        <f t="shared" si="37"/>
        <v>CAP. 5: ACCESORIOS HIDRAULICOS</v>
      </c>
      <c r="AI68" s="47">
        <f t="shared" si="38"/>
        <v>51</v>
      </c>
      <c r="AJ68" s="47"/>
      <c r="AK68" s="47"/>
      <c r="AL68" s="48"/>
      <c r="AM68" s="49"/>
      <c r="AN68" s="84"/>
      <c r="AP68" s="50">
        <f t="shared" si="47"/>
        <v>2</v>
      </c>
      <c r="AQ68" s="51"/>
      <c r="AR68" s="52">
        <f t="shared" si="48"/>
        <v>2</v>
      </c>
      <c r="AS68" s="53">
        <f t="shared" si="49"/>
        <v>135345</v>
      </c>
      <c r="AT68" s="54">
        <f t="shared" si="50"/>
        <v>270690</v>
      </c>
      <c r="AU68" s="84"/>
      <c r="AV68" s="85"/>
      <c r="AW68" s="412">
        <f t="shared" si="40"/>
        <v>181362</v>
      </c>
      <c r="AX68" s="412">
        <f t="shared" si="41"/>
        <v>-6</v>
      </c>
      <c r="AY68" s="419">
        <f t="shared" si="42"/>
        <v>362724</v>
      </c>
    </row>
    <row r="69" spans="1:51" x14ac:dyDescent="0.25">
      <c r="A69" s="27" t="s">
        <v>216</v>
      </c>
      <c r="B69" s="28" t="s">
        <v>217</v>
      </c>
      <c r="C69" s="29" t="s">
        <v>218</v>
      </c>
      <c r="D69" s="30" t="s">
        <v>90</v>
      </c>
      <c r="E69" s="143">
        <v>67</v>
      </c>
      <c r="F69" s="144">
        <v>109305</v>
      </c>
      <c r="G69" s="145">
        <f t="shared" si="39"/>
        <v>7323435</v>
      </c>
      <c r="H69" s="34">
        <f>'[3]APUS '!H1388</f>
        <v>109305</v>
      </c>
      <c r="I69" s="34">
        <f t="shared" si="1"/>
        <v>0</v>
      </c>
      <c r="J69" s="35">
        <f>'[3]APUS '!H1395</f>
        <v>146463</v>
      </c>
      <c r="K69" s="32">
        <v>1</v>
      </c>
      <c r="L69" s="32">
        <f>ROUNDUP(('[3]APUS '!$I$1347/8)/$K$69,0)</f>
        <v>2</v>
      </c>
      <c r="M69" s="36">
        <f t="shared" si="43"/>
        <v>9813021</v>
      </c>
      <c r="N69" s="37">
        <f t="shared" si="44"/>
        <v>7323435</v>
      </c>
      <c r="O69" s="38">
        <f t="shared" si="45"/>
        <v>7323435</v>
      </c>
      <c r="P69" s="39"/>
      <c r="Q69" s="40">
        <f>ROUND('[3]APUS '!H1383*E69,0)+ROUND('[3]APUS '!H1386*E69,0)</f>
        <v>117214</v>
      </c>
      <c r="R69" s="41">
        <f>ROUND('[3]APUS '!H1380*E69,0)</f>
        <v>18469</v>
      </c>
      <c r="S69" s="41">
        <f>ROUND('[3]APUS '!H1377*E69,0)</f>
        <v>276147</v>
      </c>
      <c r="T69" s="42">
        <f>ROUND('[3]APUS '!H1374*E69,0)</f>
        <v>6911633</v>
      </c>
      <c r="U69" s="43">
        <f t="shared" si="46"/>
        <v>7323463</v>
      </c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1"/>
      <c r="AG69" s="45"/>
      <c r="AH69" s="46" t="str">
        <f t="shared" si="37"/>
        <v>CAP. 5: ACCESORIOS HIDRAULICOS</v>
      </c>
      <c r="AI69" s="47">
        <f t="shared" si="38"/>
        <v>51</v>
      </c>
      <c r="AJ69" s="47"/>
      <c r="AK69" s="47"/>
      <c r="AL69" s="48"/>
      <c r="AM69" s="49"/>
      <c r="AN69" s="84"/>
      <c r="AP69" s="50">
        <f t="shared" si="47"/>
        <v>67</v>
      </c>
      <c r="AQ69" s="51"/>
      <c r="AR69" s="52">
        <f t="shared" si="48"/>
        <v>67</v>
      </c>
      <c r="AS69" s="53">
        <f t="shared" si="49"/>
        <v>109305</v>
      </c>
      <c r="AT69" s="54">
        <f t="shared" si="50"/>
        <v>7323435</v>
      </c>
      <c r="AU69" s="84"/>
      <c r="AV69" s="85"/>
      <c r="AW69" s="412">
        <f t="shared" si="40"/>
        <v>146469</v>
      </c>
      <c r="AX69" s="412">
        <f t="shared" si="41"/>
        <v>-6</v>
      </c>
      <c r="AY69" s="419">
        <f t="shared" si="42"/>
        <v>9813423</v>
      </c>
    </row>
    <row r="70" spans="1:51" x14ac:dyDescent="0.25">
      <c r="A70" s="27" t="s">
        <v>219</v>
      </c>
      <c r="B70" s="28" t="s">
        <v>220</v>
      </c>
      <c r="C70" s="29" t="s">
        <v>221</v>
      </c>
      <c r="D70" s="30" t="s">
        <v>90</v>
      </c>
      <c r="E70" s="143">
        <v>5</v>
      </c>
      <c r="F70" s="144">
        <v>1102529</v>
      </c>
      <c r="G70" s="145">
        <f t="shared" si="39"/>
        <v>5512645</v>
      </c>
      <c r="H70" s="34">
        <f>'[3]APUS '!H1418</f>
        <v>1102529</v>
      </c>
      <c r="I70" s="34">
        <f t="shared" si="1"/>
        <v>0</v>
      </c>
      <c r="J70" s="35">
        <f>'[3]APUS '!H1425</f>
        <v>1477334</v>
      </c>
      <c r="K70" s="32">
        <v>1</v>
      </c>
      <c r="L70" s="32">
        <f>ROUNDUP(('[3]APUS '!$I$1377/8)/$K$70,0)</f>
        <v>4</v>
      </c>
      <c r="M70" s="36">
        <f t="shared" si="43"/>
        <v>7386670</v>
      </c>
      <c r="N70" s="37">
        <f t="shared" si="44"/>
        <v>5512645</v>
      </c>
      <c r="O70" s="38">
        <f t="shared" si="45"/>
        <v>5512645</v>
      </c>
      <c r="P70" s="39"/>
      <c r="Q70" s="40">
        <f>ROUND('[3]APUS '!H1413*E70,0)+ROUND('[3]APUS '!H1416*E70,0)</f>
        <v>11946</v>
      </c>
      <c r="R70" s="41">
        <f>ROUND('[3]APUS '!H1410*E70,0)</f>
        <v>55500</v>
      </c>
      <c r="S70" s="41">
        <f>ROUND('[3]APUS '!H1407*E70,0)</f>
        <v>515200</v>
      </c>
      <c r="T70" s="42">
        <f>ROUND('[3]APUS '!H1404*E70,0)</f>
        <v>4930000</v>
      </c>
      <c r="U70" s="43">
        <f t="shared" si="46"/>
        <v>5512646</v>
      </c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1"/>
      <c r="AG70" s="45"/>
      <c r="AH70" s="46" t="str">
        <f t="shared" si="37"/>
        <v>CAP. 5: ACCESORIOS HIDRAULICOS</v>
      </c>
      <c r="AI70" s="47">
        <f t="shared" si="38"/>
        <v>51</v>
      </c>
      <c r="AJ70" s="47"/>
      <c r="AK70" s="47"/>
      <c r="AL70" s="48"/>
      <c r="AM70" s="49"/>
      <c r="AN70" s="84"/>
      <c r="AP70" s="50">
        <f t="shared" si="47"/>
        <v>5</v>
      </c>
      <c r="AQ70" s="51"/>
      <c r="AR70" s="52">
        <f t="shared" si="48"/>
        <v>5</v>
      </c>
      <c r="AS70" s="53">
        <f t="shared" si="49"/>
        <v>1102529</v>
      </c>
      <c r="AT70" s="54">
        <f t="shared" si="50"/>
        <v>5512645</v>
      </c>
      <c r="AU70" s="84"/>
      <c r="AV70" s="85"/>
      <c r="AW70" s="412">
        <f t="shared" si="40"/>
        <v>1477389</v>
      </c>
      <c r="AX70" s="412">
        <f t="shared" si="41"/>
        <v>-55</v>
      </c>
      <c r="AY70" s="419">
        <f t="shared" si="42"/>
        <v>7386945</v>
      </c>
    </row>
    <row r="71" spans="1:51" x14ac:dyDescent="0.25">
      <c r="A71" s="27" t="s">
        <v>222</v>
      </c>
      <c r="B71" s="28" t="s">
        <v>223</v>
      </c>
      <c r="C71" s="29" t="s">
        <v>224</v>
      </c>
      <c r="D71" s="30" t="s">
        <v>90</v>
      </c>
      <c r="E71" s="143">
        <v>12</v>
      </c>
      <c r="F71" s="144">
        <v>144088</v>
      </c>
      <c r="G71" s="145">
        <f t="shared" si="39"/>
        <v>1729056</v>
      </c>
      <c r="H71" s="34">
        <f>'[3]APUS '!H1448</f>
        <v>144088</v>
      </c>
      <c r="I71" s="34">
        <f t="shared" si="1"/>
        <v>0</v>
      </c>
      <c r="J71" s="35">
        <f>'[3]APUS '!H1455</f>
        <v>193071</v>
      </c>
      <c r="K71" s="32">
        <v>1</v>
      </c>
      <c r="L71" s="32">
        <f>ROUNDUP(('[3]APUS '!$I$1410/8)/$K$71,0)</f>
        <v>1</v>
      </c>
      <c r="M71" s="36">
        <f t="shared" si="43"/>
        <v>2316852</v>
      </c>
      <c r="N71" s="37">
        <f t="shared" si="44"/>
        <v>1729056</v>
      </c>
      <c r="O71" s="38">
        <f t="shared" si="45"/>
        <v>1729056</v>
      </c>
      <c r="P71" s="39"/>
      <c r="Q71" s="40">
        <f>ROUND('[3]APUS '!H1413*E71,0)+ROUND('[3]APUS '!H1446*E71,0)</f>
        <v>4323</v>
      </c>
      <c r="R71" s="41">
        <f>ROUND('[3]APUS '!H1443*E71,0)</f>
        <v>4440</v>
      </c>
      <c r="S71" s="41">
        <f>ROUND('[3]APUS '!H1440*E71,0)</f>
        <v>98918</v>
      </c>
      <c r="T71" s="42">
        <f>ROUND('[3]APUS '!H1437*E71,0)</f>
        <v>1621380</v>
      </c>
      <c r="U71" s="43">
        <f t="shared" si="46"/>
        <v>1729061</v>
      </c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1"/>
      <c r="AG71" s="45"/>
      <c r="AH71" s="46" t="str">
        <f t="shared" si="37"/>
        <v>CAP. 5: ACCESORIOS HIDRAULICOS</v>
      </c>
      <c r="AI71" s="47">
        <f t="shared" si="38"/>
        <v>51</v>
      </c>
      <c r="AJ71" s="47"/>
      <c r="AK71" s="47"/>
      <c r="AL71" s="48"/>
      <c r="AM71" s="49"/>
      <c r="AN71" s="84"/>
      <c r="AP71" s="50">
        <f t="shared" si="47"/>
        <v>12</v>
      </c>
      <c r="AQ71" s="51"/>
      <c r="AR71" s="52">
        <f t="shared" si="48"/>
        <v>12</v>
      </c>
      <c r="AS71" s="53">
        <f t="shared" si="49"/>
        <v>144088</v>
      </c>
      <c r="AT71" s="54">
        <f t="shared" si="50"/>
        <v>1729056</v>
      </c>
      <c r="AU71" s="84"/>
      <c r="AV71" s="85"/>
      <c r="AW71" s="412">
        <f t="shared" si="40"/>
        <v>193078</v>
      </c>
      <c r="AX71" s="412">
        <f t="shared" si="41"/>
        <v>-7</v>
      </c>
      <c r="AY71" s="419">
        <f t="shared" si="42"/>
        <v>2316936</v>
      </c>
    </row>
    <row r="72" spans="1:51" x14ac:dyDescent="0.25">
      <c r="A72" s="27" t="s">
        <v>225</v>
      </c>
      <c r="B72" s="28" t="s">
        <v>226</v>
      </c>
      <c r="C72" s="29" t="s">
        <v>227</v>
      </c>
      <c r="D72" s="30" t="s">
        <v>90</v>
      </c>
      <c r="E72" s="143">
        <v>13</v>
      </c>
      <c r="F72" s="144">
        <v>1091293</v>
      </c>
      <c r="G72" s="145">
        <f t="shared" si="39"/>
        <v>14186809</v>
      </c>
      <c r="H72" s="34">
        <f>'[3]APUS '!H1478</f>
        <v>1091293</v>
      </c>
      <c r="I72" s="34">
        <f t="shared" si="1"/>
        <v>0</v>
      </c>
      <c r="J72" s="35">
        <f>'[3]APUS '!H1485</f>
        <v>1462278</v>
      </c>
      <c r="K72" s="32">
        <v>1</v>
      </c>
      <c r="L72" s="32">
        <f>ROUNDUP(('[3]APUS '!$I$1437/8)/$K$72,0)</f>
        <v>5</v>
      </c>
      <c r="M72" s="36">
        <f t="shared" si="43"/>
        <v>19009614</v>
      </c>
      <c r="N72" s="37">
        <f t="shared" si="44"/>
        <v>14186809</v>
      </c>
      <c r="O72" s="38">
        <f t="shared" si="45"/>
        <v>14186809</v>
      </c>
      <c r="P72" s="39"/>
      <c r="Q72" s="40">
        <f>ROUND('[3]APUS '!H1473*E72,0)+ROUND('[3]APUS '!H1476*E72,0)</f>
        <v>23975</v>
      </c>
      <c r="R72" s="41">
        <f>ROUND('[3]APUS '!H1470*E72,0)</f>
        <v>6013</v>
      </c>
      <c r="S72" s="41">
        <f>ROUND('[3]APUS '!H1467*E72,0)</f>
        <v>925503</v>
      </c>
      <c r="T72" s="42">
        <f>ROUND('[3]APUS '!H1464*E72,0)</f>
        <v>13231322</v>
      </c>
      <c r="U72" s="43">
        <f t="shared" si="46"/>
        <v>14186813</v>
      </c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1"/>
      <c r="AG72" s="45"/>
      <c r="AH72" s="46" t="str">
        <f t="shared" si="37"/>
        <v>CAP. 5: ACCESORIOS HIDRAULICOS</v>
      </c>
      <c r="AI72" s="47">
        <f t="shared" si="38"/>
        <v>51</v>
      </c>
      <c r="AJ72" s="47"/>
      <c r="AK72" s="47"/>
      <c r="AL72" s="48"/>
      <c r="AM72" s="49"/>
      <c r="AN72" s="84"/>
      <c r="AP72" s="50">
        <f t="shared" si="47"/>
        <v>13</v>
      </c>
      <c r="AQ72" s="51"/>
      <c r="AR72" s="52">
        <f t="shared" si="48"/>
        <v>13</v>
      </c>
      <c r="AS72" s="53">
        <f t="shared" si="49"/>
        <v>1091293</v>
      </c>
      <c r="AT72" s="54">
        <f t="shared" si="50"/>
        <v>14186809</v>
      </c>
      <c r="AU72" s="84"/>
      <c r="AV72" s="85"/>
      <c r="AW72" s="412">
        <f t="shared" si="40"/>
        <v>1462333</v>
      </c>
      <c r="AX72" s="412">
        <f t="shared" si="41"/>
        <v>-55</v>
      </c>
      <c r="AY72" s="419">
        <f t="shared" si="42"/>
        <v>19010329</v>
      </c>
    </row>
    <row r="73" spans="1:51" x14ac:dyDescent="0.25">
      <c r="A73" s="27" t="s">
        <v>228</v>
      </c>
      <c r="B73" s="28" t="s">
        <v>229</v>
      </c>
      <c r="C73" s="29" t="s">
        <v>230</v>
      </c>
      <c r="D73" s="30" t="s">
        <v>90</v>
      </c>
      <c r="E73" s="143">
        <v>5</v>
      </c>
      <c r="F73" s="144">
        <v>24700</v>
      </c>
      <c r="G73" s="145">
        <f t="shared" si="39"/>
        <v>123500</v>
      </c>
      <c r="H73" s="34">
        <f>'[3]APUS '!H1506</f>
        <v>24700</v>
      </c>
      <c r="I73" s="34">
        <f t="shared" si="1"/>
        <v>0</v>
      </c>
      <c r="J73" s="35">
        <f>'[3]APUS '!H1513</f>
        <v>33097</v>
      </c>
      <c r="K73" s="32">
        <v>1</v>
      </c>
      <c r="L73" s="32">
        <f>ROUNDUP(('[3]APUS '!$I$1468/8)/$K$73,0)</f>
        <v>1</v>
      </c>
      <c r="M73" s="36">
        <f t="shared" si="43"/>
        <v>165485</v>
      </c>
      <c r="N73" s="37">
        <f t="shared" si="44"/>
        <v>123500</v>
      </c>
      <c r="O73" s="38">
        <f t="shared" si="45"/>
        <v>123500</v>
      </c>
      <c r="P73" s="39"/>
      <c r="Q73" s="40">
        <f>ROUND('[3]APUS '!H1473*E73,0)+ROUND('[3]APUS '!H1504*E73,0)</f>
        <v>7798</v>
      </c>
      <c r="R73" s="41">
        <f>ROUND('[3]APUS '!H1501*E73,0)</f>
        <v>925</v>
      </c>
      <c r="S73" s="41">
        <f>ROUND('[3]APUS '!H1498*E73,0)</f>
        <v>10304</v>
      </c>
      <c r="T73" s="42">
        <f>ROUND('[3]APUS '!H1495*E73,0)</f>
        <v>104473</v>
      </c>
      <c r="U73" s="43">
        <f t="shared" si="46"/>
        <v>123500</v>
      </c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1"/>
      <c r="AG73" s="45"/>
      <c r="AH73" s="46" t="str">
        <f t="shared" si="37"/>
        <v>CAP. 5: ACCESORIOS HIDRAULICOS</v>
      </c>
      <c r="AI73" s="47">
        <f t="shared" si="38"/>
        <v>51</v>
      </c>
      <c r="AJ73" s="47"/>
      <c r="AK73" s="47"/>
      <c r="AL73" s="48"/>
      <c r="AM73" s="49"/>
      <c r="AN73" s="84"/>
      <c r="AP73" s="50">
        <f t="shared" si="47"/>
        <v>5</v>
      </c>
      <c r="AQ73" s="51"/>
      <c r="AR73" s="52">
        <f t="shared" si="48"/>
        <v>5</v>
      </c>
      <c r="AS73" s="53">
        <f t="shared" si="49"/>
        <v>24700</v>
      </c>
      <c r="AT73" s="54">
        <f t="shared" si="50"/>
        <v>123500</v>
      </c>
      <c r="AU73" s="84"/>
      <c r="AV73" s="85"/>
      <c r="AW73" s="412">
        <f t="shared" si="40"/>
        <v>33098</v>
      </c>
      <c r="AX73" s="412">
        <f t="shared" si="41"/>
        <v>-1</v>
      </c>
      <c r="AY73" s="419">
        <f t="shared" si="42"/>
        <v>165490</v>
      </c>
    </row>
    <row r="74" spans="1:51" x14ac:dyDescent="0.25">
      <c r="A74" s="27" t="s">
        <v>231</v>
      </c>
      <c r="B74" s="28" t="s">
        <v>232</v>
      </c>
      <c r="C74" s="29" t="s">
        <v>233</v>
      </c>
      <c r="D74" s="30" t="s">
        <v>90</v>
      </c>
      <c r="E74" s="143">
        <v>2</v>
      </c>
      <c r="F74" s="144">
        <v>266001</v>
      </c>
      <c r="G74" s="145">
        <f t="shared" si="39"/>
        <v>532002</v>
      </c>
      <c r="H74" s="34">
        <f>'[3]APUS '!H1534</f>
        <v>266001</v>
      </c>
      <c r="I74" s="34">
        <f t="shared" si="1"/>
        <v>0</v>
      </c>
      <c r="J74" s="35">
        <f>'[3]APUS '!H1541</f>
        <v>356428</v>
      </c>
      <c r="K74" s="32">
        <v>1</v>
      </c>
      <c r="L74" s="32">
        <f>ROUNDUP(('[3]APUS '!$I$1496/8)/$K$74,0)</f>
        <v>1</v>
      </c>
      <c r="M74" s="36">
        <f t="shared" si="43"/>
        <v>712856</v>
      </c>
      <c r="N74" s="37">
        <f t="shared" si="44"/>
        <v>532002</v>
      </c>
      <c r="O74" s="38">
        <f t="shared" si="45"/>
        <v>532002</v>
      </c>
      <c r="P74" s="39"/>
      <c r="Q74" s="40">
        <f>ROUND('[3]APUS '!H1473*E74,0)+ROUND('[3]APUS '!H1532*E74,0)</f>
        <v>1935</v>
      </c>
      <c r="R74" s="41">
        <f>ROUND('[3]APUS '!H1529*E74,0)</f>
        <v>3700</v>
      </c>
      <c r="S74" s="41">
        <f>ROUND('[3]APUS '!H1526*E74,0)</f>
        <v>20608</v>
      </c>
      <c r="T74" s="42">
        <f>ROUND('[3]APUS '!H1523*E74,0)</f>
        <v>505760</v>
      </c>
      <c r="U74" s="43">
        <f t="shared" si="46"/>
        <v>532003</v>
      </c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1"/>
      <c r="AG74" s="45"/>
      <c r="AH74" s="46" t="str">
        <f t="shared" si="37"/>
        <v>CAP. 5: ACCESORIOS HIDRAULICOS</v>
      </c>
      <c r="AI74" s="47">
        <f t="shared" si="38"/>
        <v>51</v>
      </c>
      <c r="AJ74" s="47"/>
      <c r="AK74" s="47"/>
      <c r="AL74" s="48"/>
      <c r="AM74" s="49"/>
      <c r="AN74" s="84"/>
      <c r="AP74" s="50">
        <f t="shared" si="47"/>
        <v>2</v>
      </c>
      <c r="AQ74" s="51"/>
      <c r="AR74" s="52">
        <f t="shared" si="48"/>
        <v>2</v>
      </c>
      <c r="AS74" s="53">
        <f t="shared" si="49"/>
        <v>266001</v>
      </c>
      <c r="AT74" s="54">
        <f t="shared" si="50"/>
        <v>532002</v>
      </c>
      <c r="AU74" s="84"/>
      <c r="AV74" s="85"/>
      <c r="AW74" s="412">
        <f t="shared" si="40"/>
        <v>356441</v>
      </c>
      <c r="AX74" s="412">
        <f t="shared" si="41"/>
        <v>-13</v>
      </c>
      <c r="AY74" s="419">
        <f t="shared" si="42"/>
        <v>712882</v>
      </c>
    </row>
    <row r="75" spans="1:51" x14ac:dyDescent="0.25">
      <c r="A75" s="27" t="s">
        <v>234</v>
      </c>
      <c r="B75" s="28" t="s">
        <v>235</v>
      </c>
      <c r="C75" s="29" t="s">
        <v>236</v>
      </c>
      <c r="D75" s="30" t="s">
        <v>90</v>
      </c>
      <c r="E75" s="143">
        <v>9</v>
      </c>
      <c r="F75" s="144">
        <v>1092237</v>
      </c>
      <c r="G75" s="145">
        <f t="shared" si="39"/>
        <v>9830133</v>
      </c>
      <c r="H75" s="34">
        <f>'[3]APUS '!H1564</f>
        <v>1092237</v>
      </c>
      <c r="I75" s="34">
        <f t="shared" si="1"/>
        <v>0</v>
      </c>
      <c r="J75" s="35">
        <f>'[3]APUS '!H1571</f>
        <v>1463543</v>
      </c>
      <c r="K75" s="32">
        <v>1</v>
      </c>
      <c r="L75" s="32">
        <f>ROUNDUP(('[3]APUS '!$I$1523/8)/$K$75,0)</f>
        <v>3</v>
      </c>
      <c r="M75" s="36">
        <f t="shared" si="43"/>
        <v>13171887</v>
      </c>
      <c r="N75" s="37">
        <f t="shared" si="44"/>
        <v>9830133</v>
      </c>
      <c r="O75" s="38">
        <f t="shared" si="45"/>
        <v>9830133</v>
      </c>
      <c r="P75" s="39"/>
      <c r="Q75" s="40">
        <f>ROUND('[3]APUS '!H1559*E75,0)+ROUND('[3]APUS '!H1562*E75,0)</f>
        <v>25095</v>
      </c>
      <c r="R75" s="41">
        <f>ROUND('[3]APUS '!H1556*E75,0)</f>
        <v>4163</v>
      </c>
      <c r="S75" s="41">
        <f>ROUND('[3]APUS '!H1553*E75,0)</f>
        <v>640733</v>
      </c>
      <c r="T75" s="42">
        <f>ROUND('[3]APUS '!H1550*E75,0)</f>
        <v>9160146</v>
      </c>
      <c r="U75" s="43">
        <f t="shared" si="46"/>
        <v>9830137</v>
      </c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1"/>
      <c r="AG75" s="45"/>
      <c r="AH75" s="46" t="str">
        <f t="shared" si="37"/>
        <v>CAP. 5: ACCESORIOS HIDRAULICOS</v>
      </c>
      <c r="AI75" s="47">
        <f t="shared" si="38"/>
        <v>51</v>
      </c>
      <c r="AJ75" s="47"/>
      <c r="AK75" s="47"/>
      <c r="AL75" s="48"/>
      <c r="AM75" s="49"/>
      <c r="AN75" s="84"/>
      <c r="AP75" s="50">
        <f t="shared" si="47"/>
        <v>9</v>
      </c>
      <c r="AQ75" s="51"/>
      <c r="AR75" s="52">
        <f t="shared" si="48"/>
        <v>9</v>
      </c>
      <c r="AS75" s="53">
        <f t="shared" si="49"/>
        <v>1092237</v>
      </c>
      <c r="AT75" s="54">
        <f t="shared" si="50"/>
        <v>9830133</v>
      </c>
      <c r="AU75" s="84"/>
      <c r="AV75" s="85"/>
      <c r="AW75" s="412">
        <f t="shared" si="40"/>
        <v>1463598</v>
      </c>
      <c r="AX75" s="412">
        <f t="shared" si="41"/>
        <v>-55</v>
      </c>
      <c r="AY75" s="419">
        <f t="shared" si="42"/>
        <v>13172382</v>
      </c>
    </row>
    <row r="76" spans="1:51" x14ac:dyDescent="0.25">
      <c r="A76" s="170" t="s">
        <v>237</v>
      </c>
      <c r="B76" s="28" t="s">
        <v>238</v>
      </c>
      <c r="C76" s="29" t="s">
        <v>179</v>
      </c>
      <c r="D76" s="30" t="s">
        <v>90</v>
      </c>
      <c r="E76" s="143">
        <v>4</v>
      </c>
      <c r="F76" s="144">
        <v>191009</v>
      </c>
      <c r="G76" s="145">
        <f t="shared" si="39"/>
        <v>764036</v>
      </c>
      <c r="H76" s="34">
        <f>'[3]APUS '!H1596</f>
        <v>191009</v>
      </c>
      <c r="I76" s="34">
        <f t="shared" si="1"/>
        <v>0</v>
      </c>
      <c r="J76" s="35">
        <f>'[3]APUS '!H1603</f>
        <v>255943</v>
      </c>
      <c r="K76" s="32">
        <v>1</v>
      </c>
      <c r="L76" s="32">
        <f>ROUNDUP(('[3]APUS '!$I$1557/8)/$K$76,0)</f>
        <v>1</v>
      </c>
      <c r="M76" s="36">
        <f t="shared" si="43"/>
        <v>1023772</v>
      </c>
      <c r="N76" s="37">
        <f t="shared" si="44"/>
        <v>764036</v>
      </c>
      <c r="O76" s="38">
        <f t="shared" si="45"/>
        <v>764036</v>
      </c>
      <c r="P76" s="39"/>
      <c r="Q76" s="40">
        <f>ROUND('[3]APUS '!H1559*E76,0)+ROUND('[3]APUS '!H1594*E76,0)</f>
        <v>2189</v>
      </c>
      <c r="R76" s="41">
        <f>ROUND('[3]APUS '!H1591*E76,0)</f>
        <v>14800</v>
      </c>
      <c r="S76" s="41">
        <f>ROUND('[3]APUS '!H1588*E76,0)</f>
        <v>115693</v>
      </c>
      <c r="T76" s="42">
        <f>ROUND('[3]APUS '!H1584*E76,0)</f>
        <v>631352</v>
      </c>
      <c r="U76" s="43">
        <f t="shared" si="46"/>
        <v>764034</v>
      </c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1"/>
      <c r="AG76" s="45"/>
      <c r="AH76" s="46" t="str">
        <f t="shared" si="37"/>
        <v>CAP. 5: ACCESORIOS HIDRAULICOS</v>
      </c>
      <c r="AI76" s="47">
        <f t="shared" si="38"/>
        <v>51</v>
      </c>
      <c r="AJ76" s="47"/>
      <c r="AK76" s="47"/>
      <c r="AL76" s="48"/>
      <c r="AM76" s="49"/>
      <c r="AN76" s="84"/>
      <c r="AP76" s="50">
        <f t="shared" si="47"/>
        <v>4</v>
      </c>
      <c r="AQ76" s="51"/>
      <c r="AR76" s="52">
        <f t="shared" si="48"/>
        <v>4</v>
      </c>
      <c r="AS76" s="53">
        <f t="shared" si="49"/>
        <v>191009</v>
      </c>
      <c r="AT76" s="54">
        <f t="shared" si="50"/>
        <v>764036</v>
      </c>
      <c r="AU76" s="84"/>
      <c r="AV76" s="85"/>
      <c r="AW76" s="412">
        <f t="shared" si="40"/>
        <v>255952</v>
      </c>
      <c r="AX76" s="412">
        <f t="shared" si="41"/>
        <v>-9</v>
      </c>
      <c r="AY76" s="419">
        <f t="shared" si="42"/>
        <v>1023808</v>
      </c>
    </row>
    <row r="77" spans="1:51" x14ac:dyDescent="0.25">
      <c r="A77" s="27" t="s">
        <v>239</v>
      </c>
      <c r="B77" s="28" t="s">
        <v>240</v>
      </c>
      <c r="C77" s="29" t="s">
        <v>241</v>
      </c>
      <c r="D77" s="30" t="s">
        <v>90</v>
      </c>
      <c r="E77" s="143">
        <v>2</v>
      </c>
      <c r="F77" s="144">
        <v>284628</v>
      </c>
      <c r="G77" s="145">
        <f t="shared" si="39"/>
        <v>569256</v>
      </c>
      <c r="H77" s="34">
        <f>'[3]APUS '!H1628</f>
        <v>284628</v>
      </c>
      <c r="I77" s="34">
        <f t="shared" si="1"/>
        <v>0</v>
      </c>
      <c r="J77" s="35">
        <f>'[3]APUS '!H1635</f>
        <v>381387</v>
      </c>
      <c r="K77" s="32">
        <v>1</v>
      </c>
      <c r="L77" s="32">
        <f>ROUNDUP(('[3]APUS '!$I$1587/8)/$K$77,0)</f>
        <v>1</v>
      </c>
      <c r="M77" s="36">
        <f t="shared" si="43"/>
        <v>762774</v>
      </c>
      <c r="N77" s="37">
        <f t="shared" si="44"/>
        <v>569256</v>
      </c>
      <c r="O77" s="38">
        <f t="shared" si="45"/>
        <v>569256</v>
      </c>
      <c r="P77" s="39"/>
      <c r="Q77" s="40">
        <f>ROUND('[3]APUS '!H1623*E77,0)+ROUND('[3]APUS '!H1626*E77,0)</f>
        <v>239</v>
      </c>
      <c r="R77" s="41">
        <f>ROUND('[3]APUS '!H1620*E77,0)</f>
        <v>1850</v>
      </c>
      <c r="S77" s="41">
        <f>ROUND('[3]APUS '!H1617*E77,0)</f>
        <v>28477</v>
      </c>
      <c r="T77" s="42">
        <f>ROUND('[3]APUS '!H1614*E77,0)</f>
        <v>538690</v>
      </c>
      <c r="U77" s="43">
        <f t="shared" si="46"/>
        <v>569256</v>
      </c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1"/>
      <c r="AG77" s="45"/>
      <c r="AH77" s="46" t="str">
        <f t="shared" si="37"/>
        <v>CAP. 5: ACCESORIOS HIDRAULICOS</v>
      </c>
      <c r="AI77" s="47">
        <f t="shared" si="38"/>
        <v>51</v>
      </c>
      <c r="AJ77" s="47"/>
      <c r="AK77" s="47"/>
      <c r="AL77" s="48"/>
      <c r="AM77" s="49"/>
      <c r="AN77" s="84"/>
      <c r="AP77" s="50">
        <f t="shared" si="47"/>
        <v>2</v>
      </c>
      <c r="AQ77" s="51"/>
      <c r="AR77" s="52">
        <f t="shared" si="48"/>
        <v>2</v>
      </c>
      <c r="AS77" s="53">
        <f t="shared" si="49"/>
        <v>284628</v>
      </c>
      <c r="AT77" s="54">
        <f t="shared" si="50"/>
        <v>569256</v>
      </c>
      <c r="AU77" s="84"/>
      <c r="AV77" s="85"/>
      <c r="AW77" s="412">
        <f t="shared" si="40"/>
        <v>381402</v>
      </c>
      <c r="AX77" s="412">
        <f t="shared" si="41"/>
        <v>-15</v>
      </c>
      <c r="AY77" s="419">
        <f t="shared" si="42"/>
        <v>762804</v>
      </c>
    </row>
    <row r="78" spans="1:51" x14ac:dyDescent="0.25">
      <c r="A78" s="27" t="s">
        <v>242</v>
      </c>
      <c r="B78" s="28" t="s">
        <v>243</v>
      </c>
      <c r="C78" s="29" t="s">
        <v>244</v>
      </c>
      <c r="D78" s="30" t="s">
        <v>90</v>
      </c>
      <c r="E78" s="143">
        <v>1</v>
      </c>
      <c r="F78" s="144">
        <v>632587</v>
      </c>
      <c r="G78" s="145">
        <f t="shared" si="39"/>
        <v>632587</v>
      </c>
      <c r="H78" s="34">
        <f>'[3]APUS '!H1690</f>
        <v>632587</v>
      </c>
      <c r="I78" s="34">
        <f t="shared" si="1"/>
        <v>0</v>
      </c>
      <c r="J78" s="35">
        <f>'[3]APUS '!H1697</f>
        <v>847635</v>
      </c>
      <c r="K78" s="32">
        <v>1</v>
      </c>
      <c r="L78" s="32">
        <f>ROUNDUP(('[3]APUS '!$I$1649/8)/$K$78,0)</f>
        <v>1</v>
      </c>
      <c r="M78" s="36">
        <f t="shared" si="43"/>
        <v>847635</v>
      </c>
      <c r="N78" s="37">
        <f t="shared" si="44"/>
        <v>632587</v>
      </c>
      <c r="O78" s="38">
        <f t="shared" si="45"/>
        <v>632587</v>
      </c>
      <c r="P78" s="39"/>
      <c r="Q78" s="40">
        <f>ROUND('[3]APUS '!H1685*E78,0)+ROUND('[3]APUS '!H1688*E78,0)</f>
        <v>478</v>
      </c>
      <c r="R78" s="41">
        <f>ROUND('[3]APUS '!H1682*E78,0)</f>
        <v>185</v>
      </c>
      <c r="S78" s="41">
        <f>ROUND('[3]APUS '!H1679*E78,0)</f>
        <v>85431</v>
      </c>
      <c r="T78" s="42">
        <f>ROUND('[3]APUS '!H1676*E78,0)</f>
        <v>546493</v>
      </c>
      <c r="U78" s="43">
        <f t="shared" si="46"/>
        <v>632587</v>
      </c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1"/>
      <c r="AG78" s="45"/>
      <c r="AH78" s="46" t="str">
        <f t="shared" si="37"/>
        <v>CAP. 5: ACCESORIOS HIDRAULICOS</v>
      </c>
      <c r="AI78" s="47">
        <f t="shared" si="38"/>
        <v>51</v>
      </c>
      <c r="AJ78" s="47"/>
      <c r="AK78" s="47"/>
      <c r="AL78" s="48"/>
      <c r="AM78" s="49"/>
      <c r="AN78" s="84"/>
      <c r="AP78" s="50">
        <f t="shared" si="47"/>
        <v>1</v>
      </c>
      <c r="AQ78" s="51"/>
      <c r="AR78" s="52">
        <f t="shared" si="48"/>
        <v>1</v>
      </c>
      <c r="AS78" s="53">
        <f t="shared" si="49"/>
        <v>632587</v>
      </c>
      <c r="AT78" s="54">
        <f t="shared" si="50"/>
        <v>632587</v>
      </c>
      <c r="AU78" s="84"/>
      <c r="AV78" s="85"/>
      <c r="AW78" s="412">
        <f t="shared" si="40"/>
        <v>847667</v>
      </c>
      <c r="AX78" s="412">
        <f t="shared" si="41"/>
        <v>-32</v>
      </c>
      <c r="AY78" s="419">
        <f t="shared" si="42"/>
        <v>847667</v>
      </c>
    </row>
    <row r="79" spans="1:51" x14ac:dyDescent="0.25">
      <c r="A79" s="27" t="s">
        <v>245</v>
      </c>
      <c r="B79" s="28" t="s">
        <v>246</v>
      </c>
      <c r="C79" s="29" t="s">
        <v>247</v>
      </c>
      <c r="D79" s="30" t="s">
        <v>90</v>
      </c>
      <c r="E79" s="143">
        <v>6</v>
      </c>
      <c r="F79" s="144">
        <v>109096</v>
      </c>
      <c r="G79" s="145">
        <f t="shared" si="39"/>
        <v>654576</v>
      </c>
      <c r="H79" s="34">
        <f>'[3]APUS '!H1718</f>
        <v>109096</v>
      </c>
      <c r="I79" s="34">
        <f t="shared" si="1"/>
        <v>0</v>
      </c>
      <c r="J79" s="35">
        <f>'[3]APUS '!H1725</f>
        <v>146183</v>
      </c>
      <c r="K79" s="32">
        <v>1</v>
      </c>
      <c r="L79" s="32">
        <f>ROUNDUP(('[3]APUS '!$I$1680/8)/$K$79,0)</f>
        <v>2</v>
      </c>
      <c r="M79" s="36">
        <f t="shared" si="43"/>
        <v>877098</v>
      </c>
      <c r="N79" s="37">
        <f t="shared" si="44"/>
        <v>654576</v>
      </c>
      <c r="O79" s="38">
        <f t="shared" si="45"/>
        <v>654576</v>
      </c>
      <c r="P79" s="39"/>
      <c r="Q79" s="40">
        <f>ROUND('[3]APUS '!H1685*E79,0)+ROUND('[3]APUS '!H1716*E79,0)</f>
        <v>10043</v>
      </c>
      <c r="R79" s="41">
        <f>ROUND('[3]APUS '!H1713*E79,0)</f>
        <v>555</v>
      </c>
      <c r="S79" s="41">
        <f>ROUND('[3]APUS '!H1710*E79,0)</f>
        <v>185472</v>
      </c>
      <c r="T79" s="42">
        <f>ROUND('[3]APUS '!H1707*E79,0)</f>
        <v>458508</v>
      </c>
      <c r="U79" s="43">
        <f t="shared" si="46"/>
        <v>654578</v>
      </c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1"/>
      <c r="AG79" s="45"/>
      <c r="AH79" s="46" t="str">
        <f t="shared" si="37"/>
        <v>CAP. 5: ACCESORIOS HIDRAULICOS</v>
      </c>
      <c r="AI79" s="47">
        <f t="shared" si="38"/>
        <v>51</v>
      </c>
      <c r="AJ79" s="47"/>
      <c r="AK79" s="47"/>
      <c r="AL79" s="48"/>
      <c r="AM79" s="49"/>
      <c r="AN79" s="84"/>
      <c r="AP79" s="50">
        <f t="shared" si="47"/>
        <v>6</v>
      </c>
      <c r="AQ79" s="51"/>
      <c r="AR79" s="52">
        <f t="shared" si="48"/>
        <v>6</v>
      </c>
      <c r="AS79" s="53">
        <f t="shared" si="49"/>
        <v>109096</v>
      </c>
      <c r="AT79" s="54">
        <f t="shared" si="50"/>
        <v>654576</v>
      </c>
      <c r="AU79" s="84"/>
      <c r="AV79" s="85"/>
      <c r="AW79" s="412">
        <f t="shared" si="40"/>
        <v>146189</v>
      </c>
      <c r="AX79" s="412">
        <f t="shared" si="41"/>
        <v>-6</v>
      </c>
      <c r="AY79" s="419">
        <f t="shared" si="42"/>
        <v>877134</v>
      </c>
    </row>
    <row r="80" spans="1:51" x14ac:dyDescent="0.25">
      <c r="A80" s="27" t="s">
        <v>248</v>
      </c>
      <c r="B80" s="28" t="s">
        <v>249</v>
      </c>
      <c r="C80" s="29" t="s">
        <v>250</v>
      </c>
      <c r="D80" s="30" t="s">
        <v>90</v>
      </c>
      <c r="E80" s="143">
        <v>5</v>
      </c>
      <c r="F80" s="144">
        <v>112193</v>
      </c>
      <c r="G80" s="145">
        <f t="shared" si="39"/>
        <v>560965</v>
      </c>
      <c r="H80" s="34">
        <f>'[3]APUS '!H1746</f>
        <v>112193</v>
      </c>
      <c r="I80" s="34">
        <f t="shared" ref="I80:I116" si="51">+F80-H80</f>
        <v>0</v>
      </c>
      <c r="J80" s="35">
        <f>'[3]APUS '!H1753</f>
        <v>150333</v>
      </c>
      <c r="K80" s="32">
        <v>1</v>
      </c>
      <c r="L80" s="32">
        <f>ROUNDUP(('[3]APUS '!$I$1708/8)/$K$80,0)</f>
        <v>1</v>
      </c>
      <c r="M80" s="36">
        <f t="shared" si="43"/>
        <v>751665</v>
      </c>
      <c r="N80" s="37">
        <f t="shared" si="44"/>
        <v>560965</v>
      </c>
      <c r="O80" s="38">
        <f t="shared" si="45"/>
        <v>560965</v>
      </c>
      <c r="P80" s="39"/>
      <c r="Q80" s="40">
        <f>ROUND('[3]APUS '!H1685*E80,0)+ROUND('[3]APUS '!H1744*E80,0)</f>
        <v>3803</v>
      </c>
      <c r="R80" s="41">
        <f>ROUND('[3]APUS '!H1741*E80,0)</f>
        <v>463</v>
      </c>
      <c r="S80" s="41">
        <f>ROUND('[3]APUS '!H1738*E80,0)</f>
        <v>154560</v>
      </c>
      <c r="T80" s="42">
        <f>ROUND('[3]APUS '!H1735*E80,0)</f>
        <v>402140</v>
      </c>
      <c r="U80" s="43">
        <f t="shared" si="46"/>
        <v>560966</v>
      </c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1"/>
      <c r="AG80" s="45"/>
      <c r="AH80" s="46" t="str">
        <f t="shared" si="37"/>
        <v>CAP. 5: ACCESORIOS HIDRAULICOS</v>
      </c>
      <c r="AI80" s="47">
        <f t="shared" si="38"/>
        <v>51</v>
      </c>
      <c r="AJ80" s="47"/>
      <c r="AK80" s="47"/>
      <c r="AL80" s="48"/>
      <c r="AM80" s="49"/>
      <c r="AN80" s="84"/>
      <c r="AP80" s="50">
        <f t="shared" si="47"/>
        <v>5</v>
      </c>
      <c r="AQ80" s="51"/>
      <c r="AR80" s="52">
        <f t="shared" si="48"/>
        <v>5</v>
      </c>
      <c r="AS80" s="53">
        <f t="shared" si="49"/>
        <v>112193</v>
      </c>
      <c r="AT80" s="54">
        <f t="shared" si="50"/>
        <v>560965</v>
      </c>
      <c r="AU80" s="84"/>
      <c r="AV80" s="85"/>
      <c r="AW80" s="412">
        <f t="shared" si="40"/>
        <v>150339</v>
      </c>
      <c r="AX80" s="412">
        <f t="shared" si="41"/>
        <v>-6</v>
      </c>
      <c r="AY80" s="419">
        <f t="shared" si="42"/>
        <v>751695</v>
      </c>
    </row>
    <row r="81" spans="1:51" x14ac:dyDescent="0.25">
      <c r="A81" s="170" t="s">
        <v>251</v>
      </c>
      <c r="B81" s="28" t="s">
        <v>252</v>
      </c>
      <c r="C81" s="29" t="s">
        <v>215</v>
      </c>
      <c r="D81" s="30" t="s">
        <v>90</v>
      </c>
      <c r="E81" s="143">
        <v>1</v>
      </c>
      <c r="F81" s="144">
        <v>135498</v>
      </c>
      <c r="G81" s="145">
        <f t="shared" si="39"/>
        <v>135498</v>
      </c>
      <c r="H81" s="34">
        <f>'[3]APUS '!H1775</f>
        <v>135498</v>
      </c>
      <c r="I81" s="34">
        <f t="shared" si="51"/>
        <v>0</v>
      </c>
      <c r="J81" s="35">
        <f>'[3]APUS '!H1782</f>
        <v>181561</v>
      </c>
      <c r="K81" s="32">
        <v>1</v>
      </c>
      <c r="L81" s="32">
        <f>ROUNDUP(('[3]APUS '!$I$1737/8)/$K$81,0)</f>
        <v>1</v>
      </c>
      <c r="M81" s="36">
        <f t="shared" si="43"/>
        <v>181561</v>
      </c>
      <c r="N81" s="37">
        <f t="shared" si="44"/>
        <v>135498</v>
      </c>
      <c r="O81" s="38">
        <f t="shared" si="45"/>
        <v>135498</v>
      </c>
      <c r="P81" s="39"/>
      <c r="Q81" s="40">
        <f>ROUND('[3]APUS '!H1685*E81,0)+ROUND('[3]APUS '!H1773*E81,0)</f>
        <v>592</v>
      </c>
      <c r="R81" s="41">
        <f>ROUND('[3]APUS '!H1770*E81,0)</f>
        <v>93</v>
      </c>
      <c r="S81" s="41">
        <f>ROUND('[3]APUS '!H1767*E81,0)</f>
        <v>30912</v>
      </c>
      <c r="T81" s="42">
        <f>ROUND('[3]APUS '!H1764*E81,0)</f>
        <v>103902</v>
      </c>
      <c r="U81" s="43">
        <f t="shared" si="46"/>
        <v>135499</v>
      </c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1"/>
      <c r="AG81" s="45"/>
      <c r="AH81" s="46" t="str">
        <f t="shared" si="37"/>
        <v>CAP. 5: ACCESORIOS HIDRAULICOS</v>
      </c>
      <c r="AI81" s="47">
        <f t="shared" si="38"/>
        <v>51</v>
      </c>
      <c r="AJ81" s="47"/>
      <c r="AK81" s="47"/>
      <c r="AL81" s="48"/>
      <c r="AM81" s="49"/>
      <c r="AN81" s="84"/>
      <c r="AP81" s="50">
        <f t="shared" si="47"/>
        <v>1</v>
      </c>
      <c r="AQ81" s="51"/>
      <c r="AR81" s="52">
        <f t="shared" si="48"/>
        <v>1</v>
      </c>
      <c r="AS81" s="53">
        <f t="shared" si="49"/>
        <v>135498</v>
      </c>
      <c r="AT81" s="54">
        <f t="shared" si="50"/>
        <v>135498</v>
      </c>
      <c r="AU81" s="84"/>
      <c r="AV81" s="85"/>
      <c r="AW81" s="412">
        <f t="shared" si="40"/>
        <v>181567</v>
      </c>
      <c r="AX81" s="412">
        <f t="shared" si="41"/>
        <v>-6</v>
      </c>
      <c r="AY81" s="419">
        <f t="shared" si="42"/>
        <v>181567</v>
      </c>
    </row>
    <row r="82" spans="1:51" x14ac:dyDescent="0.25">
      <c r="A82" s="27" t="s">
        <v>253</v>
      </c>
      <c r="B82" s="28" t="s">
        <v>254</v>
      </c>
      <c r="C82" s="29" t="s">
        <v>255</v>
      </c>
      <c r="D82" s="30" t="s">
        <v>90</v>
      </c>
      <c r="E82" s="143">
        <v>2</v>
      </c>
      <c r="F82" s="144">
        <v>142003</v>
      </c>
      <c r="G82" s="145">
        <f t="shared" si="39"/>
        <v>284006</v>
      </c>
      <c r="H82" s="34">
        <f>'[3]APUS '!H1803</f>
        <v>142003</v>
      </c>
      <c r="I82" s="34">
        <f t="shared" si="51"/>
        <v>0</v>
      </c>
      <c r="J82" s="35">
        <f>'[3]APUS '!H1810</f>
        <v>190277</v>
      </c>
      <c r="K82" s="32">
        <v>1</v>
      </c>
      <c r="L82" s="32">
        <f>ROUNDUP(('[3]APUS '!$I$1765/8)/$K$82,0)</f>
        <v>1</v>
      </c>
      <c r="M82" s="36">
        <f t="shared" si="43"/>
        <v>380554</v>
      </c>
      <c r="N82" s="37">
        <f t="shared" si="44"/>
        <v>284006</v>
      </c>
      <c r="O82" s="38">
        <f t="shared" si="45"/>
        <v>284006</v>
      </c>
      <c r="P82" s="39"/>
      <c r="Q82" s="40">
        <f>ROUND('[3]APUS '!H1685*E82,0)+ROUND('[3]APUS '!H1801*E82,0)</f>
        <v>2220</v>
      </c>
      <c r="R82" s="41">
        <f>ROUND('[3]APUS '!H1798*E82,0)</f>
        <v>185</v>
      </c>
      <c r="S82" s="41">
        <f>ROUND('[3]APUS '!H1795*E82,0)</f>
        <v>61824</v>
      </c>
      <c r="T82" s="42">
        <f>ROUND('[3]APUS '!H1792*E82,0)</f>
        <v>219778</v>
      </c>
      <c r="U82" s="43">
        <f t="shared" si="46"/>
        <v>284007</v>
      </c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1"/>
      <c r="AG82" s="45"/>
      <c r="AH82" s="46" t="str">
        <f t="shared" si="37"/>
        <v>CAP. 5: ACCESORIOS HIDRAULICOS</v>
      </c>
      <c r="AI82" s="47">
        <f t="shared" si="38"/>
        <v>51</v>
      </c>
      <c r="AJ82" s="47"/>
      <c r="AK82" s="47"/>
      <c r="AL82" s="48"/>
      <c r="AM82" s="49"/>
      <c r="AN82" s="84"/>
      <c r="AP82" s="50">
        <f t="shared" si="47"/>
        <v>2</v>
      </c>
      <c r="AQ82" s="51"/>
      <c r="AR82" s="52">
        <f t="shared" si="48"/>
        <v>2</v>
      </c>
      <c r="AS82" s="53">
        <f t="shared" si="49"/>
        <v>142003</v>
      </c>
      <c r="AT82" s="54">
        <f t="shared" si="50"/>
        <v>284006</v>
      </c>
      <c r="AU82" s="84"/>
      <c r="AV82" s="85"/>
      <c r="AW82" s="412">
        <f t="shared" si="40"/>
        <v>190284</v>
      </c>
      <c r="AX82" s="412">
        <f t="shared" si="41"/>
        <v>-7</v>
      </c>
      <c r="AY82" s="419">
        <f t="shared" si="42"/>
        <v>380568</v>
      </c>
    </row>
    <row r="83" spans="1:51" x14ac:dyDescent="0.25">
      <c r="A83" s="27" t="s">
        <v>256</v>
      </c>
      <c r="B83" s="28" t="s">
        <v>257</v>
      </c>
      <c r="C83" s="29" t="s">
        <v>258</v>
      </c>
      <c r="D83" s="30" t="s">
        <v>90</v>
      </c>
      <c r="E83" s="143">
        <v>36</v>
      </c>
      <c r="F83" s="144">
        <v>58047</v>
      </c>
      <c r="G83" s="145">
        <f t="shared" si="39"/>
        <v>2089692</v>
      </c>
      <c r="H83" s="34">
        <f>'[3]APUS '!H1834</f>
        <v>58047</v>
      </c>
      <c r="I83" s="34">
        <f t="shared" si="51"/>
        <v>0</v>
      </c>
      <c r="J83" s="35">
        <f>'[3]APUS '!H1841</f>
        <v>77780</v>
      </c>
      <c r="K83" s="32">
        <v>1</v>
      </c>
      <c r="L83" s="32">
        <f>ROUNDUP(('[3]APUS '!$I$1793/8)/$K$83,0)</f>
        <v>1</v>
      </c>
      <c r="M83" s="36">
        <f t="shared" si="43"/>
        <v>2800080</v>
      </c>
      <c r="N83" s="37">
        <f t="shared" si="44"/>
        <v>2089692</v>
      </c>
      <c r="O83" s="38">
        <f t="shared" si="45"/>
        <v>2089692</v>
      </c>
      <c r="P83" s="39"/>
      <c r="Q83" s="40">
        <f>ROUND('[3]APUS '!H1829*E83,0)+ROUND('[3]APUS '!H1832*E83,0)</f>
        <v>27383</v>
      </c>
      <c r="R83" s="41">
        <f>ROUND('[3]APUS '!H1826*E83,0)</f>
        <v>9790</v>
      </c>
      <c r="S83" s="41">
        <f>ROUND('[3]APUS '!H1823*E83,0)</f>
        <v>111283</v>
      </c>
      <c r="T83" s="42">
        <f>ROUND('[3]APUS '!H1820*E83,0)</f>
        <v>1941221</v>
      </c>
      <c r="U83" s="43">
        <f t="shared" si="46"/>
        <v>2089677</v>
      </c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1"/>
      <c r="AG83" s="45"/>
      <c r="AH83" s="46" t="str">
        <f t="shared" si="37"/>
        <v>CAP. 5: ACCESORIOS HIDRAULICOS</v>
      </c>
      <c r="AI83" s="47">
        <f t="shared" si="38"/>
        <v>51</v>
      </c>
      <c r="AJ83" s="47"/>
      <c r="AK83" s="47"/>
      <c r="AL83" s="48"/>
      <c r="AM83" s="49"/>
      <c r="AN83" s="84"/>
      <c r="AP83" s="50">
        <f t="shared" si="47"/>
        <v>36</v>
      </c>
      <c r="AQ83" s="51"/>
      <c r="AR83" s="52">
        <f t="shared" si="48"/>
        <v>36</v>
      </c>
      <c r="AS83" s="53">
        <f t="shared" si="49"/>
        <v>58047</v>
      </c>
      <c r="AT83" s="54">
        <f t="shared" si="50"/>
        <v>2089692</v>
      </c>
      <c r="AU83" s="84"/>
      <c r="AV83" s="85"/>
      <c r="AW83" s="412">
        <f t="shared" si="40"/>
        <v>77783</v>
      </c>
      <c r="AX83" s="412">
        <f t="shared" si="41"/>
        <v>-3</v>
      </c>
      <c r="AY83" s="419">
        <f t="shared" si="42"/>
        <v>2800188</v>
      </c>
    </row>
    <row r="84" spans="1:51" x14ac:dyDescent="0.25">
      <c r="A84" s="27" t="s">
        <v>259</v>
      </c>
      <c r="B84" s="28" t="s">
        <v>260</v>
      </c>
      <c r="C84" s="29" t="s">
        <v>261</v>
      </c>
      <c r="D84" s="30" t="s">
        <v>90</v>
      </c>
      <c r="E84" s="143">
        <v>7</v>
      </c>
      <c r="F84" s="144">
        <v>614372</v>
      </c>
      <c r="G84" s="145">
        <f t="shared" si="39"/>
        <v>4300604</v>
      </c>
      <c r="H84" s="34">
        <f>'[3]APUS '!H1864</f>
        <v>614372</v>
      </c>
      <c r="I84" s="34">
        <f t="shared" si="51"/>
        <v>0</v>
      </c>
      <c r="J84" s="35">
        <f>'[3]APUS '!H1871</f>
        <v>823228</v>
      </c>
      <c r="K84" s="32">
        <v>1</v>
      </c>
      <c r="L84" s="32">
        <f>ROUNDUP(('[3]APUS '!$I$1823/8)/$K$84,0)</f>
        <v>5</v>
      </c>
      <c r="M84" s="36">
        <f t="shared" si="43"/>
        <v>5762596</v>
      </c>
      <c r="N84" s="37">
        <f t="shared" si="44"/>
        <v>4300604</v>
      </c>
      <c r="O84" s="38">
        <f t="shared" si="45"/>
        <v>4300604</v>
      </c>
      <c r="P84" s="39"/>
      <c r="Q84" s="40">
        <f>ROUND('[3]APUS '!H1859*E84,0)+ROUND('[3]APUS '!H1862*E84,0)</f>
        <v>4141</v>
      </c>
      <c r="R84" s="41">
        <f>ROUND('[3]APUS '!H1856*E84,0)</f>
        <v>67340</v>
      </c>
      <c r="S84" s="41">
        <f>ROUND('[3]APUS '!H1853*E84,0)</f>
        <v>721280</v>
      </c>
      <c r="T84" s="42">
        <f>ROUND('[3]APUS '!H1850*E84,0)</f>
        <v>3507840</v>
      </c>
      <c r="U84" s="43">
        <f t="shared" si="46"/>
        <v>4300601</v>
      </c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1"/>
      <c r="AG84" s="45"/>
      <c r="AH84" s="46" t="str">
        <f t="shared" si="37"/>
        <v>CAP. 5: ACCESORIOS HIDRAULICOS</v>
      </c>
      <c r="AI84" s="47">
        <f t="shared" si="38"/>
        <v>51</v>
      </c>
      <c r="AJ84" s="47"/>
      <c r="AK84" s="47"/>
      <c r="AL84" s="48"/>
      <c r="AM84" s="49"/>
      <c r="AN84" s="84"/>
      <c r="AP84" s="50">
        <f t="shared" si="47"/>
        <v>7</v>
      </c>
      <c r="AQ84" s="51"/>
      <c r="AR84" s="52">
        <f t="shared" si="48"/>
        <v>7</v>
      </c>
      <c r="AS84" s="53">
        <f t="shared" si="49"/>
        <v>614372</v>
      </c>
      <c r="AT84" s="54">
        <f t="shared" si="50"/>
        <v>4300604</v>
      </c>
      <c r="AU84" s="84"/>
      <c r="AV84" s="85"/>
      <c r="AW84" s="412">
        <f t="shared" si="40"/>
        <v>823258</v>
      </c>
      <c r="AX84" s="412">
        <f t="shared" si="41"/>
        <v>-30</v>
      </c>
      <c r="AY84" s="419">
        <f t="shared" si="42"/>
        <v>5762806</v>
      </c>
    </row>
    <row r="85" spans="1:51" x14ac:dyDescent="0.25">
      <c r="A85" s="27" t="s">
        <v>262</v>
      </c>
      <c r="B85" s="28" t="s">
        <v>263</v>
      </c>
      <c r="C85" s="29" t="s">
        <v>264</v>
      </c>
      <c r="D85" s="30" t="s">
        <v>90</v>
      </c>
      <c r="E85" s="143">
        <v>34</v>
      </c>
      <c r="F85" s="144">
        <v>72187</v>
      </c>
      <c r="G85" s="145">
        <f t="shared" si="39"/>
        <v>2454358</v>
      </c>
      <c r="H85" s="34">
        <f>'[3]APUS '!H1893</f>
        <v>72187</v>
      </c>
      <c r="I85" s="34">
        <f t="shared" si="51"/>
        <v>0</v>
      </c>
      <c r="J85" s="35">
        <f>'[3]APUS '!H1900</f>
        <v>96727</v>
      </c>
      <c r="K85" s="32">
        <v>1</v>
      </c>
      <c r="L85" s="32">
        <f>ROUNDUP(('[3]APUS '!$I$1855/8)/$K$85,0)</f>
        <v>2</v>
      </c>
      <c r="M85" s="36">
        <f t="shared" si="43"/>
        <v>3288718</v>
      </c>
      <c r="N85" s="37">
        <f t="shared" si="44"/>
        <v>2454358</v>
      </c>
      <c r="O85" s="38">
        <f t="shared" si="45"/>
        <v>2454358</v>
      </c>
      <c r="P85" s="39"/>
      <c r="Q85" s="40">
        <f>ROUND('[3]APUS '!H1859*E85,0)+ROUND('[3]APUS '!H1891*E85,0)</f>
        <v>15607</v>
      </c>
      <c r="R85" s="41">
        <f>ROUND('[3]APUS '!H1888*E85,0)</f>
        <v>12580</v>
      </c>
      <c r="S85" s="41">
        <f>ROUND('[3]APUS '!H1885*E85,0)</f>
        <v>280269</v>
      </c>
      <c r="T85" s="42">
        <f>ROUND('[3]APUS '!H1882*E85,0)</f>
        <v>2145910</v>
      </c>
      <c r="U85" s="43">
        <f t="shared" si="46"/>
        <v>2454366</v>
      </c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1"/>
      <c r="AG85" s="45"/>
      <c r="AH85" s="46" t="str">
        <f t="shared" si="37"/>
        <v>CAP. 5: ACCESORIOS HIDRAULICOS</v>
      </c>
      <c r="AI85" s="47">
        <f t="shared" si="38"/>
        <v>51</v>
      </c>
      <c r="AJ85" s="47"/>
      <c r="AK85" s="47"/>
      <c r="AL85" s="48"/>
      <c r="AM85" s="49"/>
      <c r="AN85" s="84"/>
      <c r="AP85" s="50">
        <f t="shared" si="47"/>
        <v>34</v>
      </c>
      <c r="AQ85" s="51"/>
      <c r="AR85" s="52">
        <f t="shared" si="48"/>
        <v>34</v>
      </c>
      <c r="AS85" s="53">
        <f t="shared" si="49"/>
        <v>72187</v>
      </c>
      <c r="AT85" s="54">
        <f t="shared" si="50"/>
        <v>2454358</v>
      </c>
      <c r="AU85" s="84"/>
      <c r="AV85" s="85"/>
      <c r="AW85" s="412">
        <f t="shared" si="40"/>
        <v>96731</v>
      </c>
      <c r="AX85" s="412">
        <f t="shared" si="41"/>
        <v>-4</v>
      </c>
      <c r="AY85" s="419">
        <f t="shared" si="42"/>
        <v>3288854</v>
      </c>
    </row>
    <row r="86" spans="1:51" x14ac:dyDescent="0.25">
      <c r="A86" s="27" t="s">
        <v>265</v>
      </c>
      <c r="B86" s="28" t="s">
        <v>266</v>
      </c>
      <c r="C86" s="29" t="s">
        <v>267</v>
      </c>
      <c r="D86" s="30" t="s">
        <v>90</v>
      </c>
      <c r="E86" s="143">
        <v>12</v>
      </c>
      <c r="F86" s="144">
        <v>410673</v>
      </c>
      <c r="G86" s="145">
        <f t="shared" si="39"/>
        <v>4928076</v>
      </c>
      <c r="H86" s="34">
        <f>'[3]APUS '!H1923</f>
        <v>410673</v>
      </c>
      <c r="I86" s="34">
        <f t="shared" si="51"/>
        <v>0</v>
      </c>
      <c r="J86" s="35">
        <f>'[3]APUS '!H1930</f>
        <v>550281</v>
      </c>
      <c r="K86" s="32">
        <v>1</v>
      </c>
      <c r="L86" s="32">
        <f>ROUNDUP(('[3]APUS '!$I$1882/8)/$K$86,0)</f>
        <v>4</v>
      </c>
      <c r="M86" s="36">
        <f t="shared" si="43"/>
        <v>6603372</v>
      </c>
      <c r="N86" s="37">
        <f t="shared" si="44"/>
        <v>4928076</v>
      </c>
      <c r="O86" s="38">
        <f t="shared" si="45"/>
        <v>4928076</v>
      </c>
      <c r="P86" s="39"/>
      <c r="Q86" s="40">
        <f>ROUND('[3]APUS '!H1918*E86,0)+ROUND('[3]APUS '!H1921*E86,0)</f>
        <v>10208</v>
      </c>
      <c r="R86" s="41">
        <f>ROUND('[3]APUS '!H1915*E86,0)</f>
        <v>5550</v>
      </c>
      <c r="S86" s="41">
        <f>ROUND('[3]APUS '!H1912*E86,0)</f>
        <v>854310</v>
      </c>
      <c r="T86" s="42">
        <f>ROUND('[3]APUS '!H1909*E86,0)</f>
        <v>4058004</v>
      </c>
      <c r="U86" s="43">
        <f t="shared" si="46"/>
        <v>4928072</v>
      </c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1"/>
      <c r="AG86" s="45"/>
      <c r="AH86" s="46" t="str">
        <f t="shared" si="37"/>
        <v>CAP. 5: ACCESORIOS HIDRAULICOS</v>
      </c>
      <c r="AI86" s="47">
        <f t="shared" si="38"/>
        <v>51</v>
      </c>
      <c r="AJ86" s="47"/>
      <c r="AK86" s="47"/>
      <c r="AL86" s="48"/>
      <c r="AM86" s="49"/>
      <c r="AN86" s="84"/>
      <c r="AP86" s="50">
        <f t="shared" si="47"/>
        <v>12</v>
      </c>
      <c r="AQ86" s="51"/>
      <c r="AR86" s="52">
        <f t="shared" si="48"/>
        <v>12</v>
      </c>
      <c r="AS86" s="53">
        <f t="shared" si="49"/>
        <v>410673</v>
      </c>
      <c r="AT86" s="54">
        <f t="shared" si="50"/>
        <v>4928076</v>
      </c>
      <c r="AU86" s="84"/>
      <c r="AV86" s="85"/>
      <c r="AW86" s="412">
        <f t="shared" si="40"/>
        <v>550302</v>
      </c>
      <c r="AX86" s="412">
        <f t="shared" si="41"/>
        <v>-21</v>
      </c>
      <c r="AY86" s="419">
        <f t="shared" si="42"/>
        <v>6603624</v>
      </c>
    </row>
    <row r="87" spans="1:51" x14ac:dyDescent="0.25">
      <c r="A87" s="27" t="s">
        <v>268</v>
      </c>
      <c r="B87" s="28" t="s">
        <v>269</v>
      </c>
      <c r="C87" s="29" t="s">
        <v>270</v>
      </c>
      <c r="D87" s="30" t="s">
        <v>90</v>
      </c>
      <c r="E87" s="143">
        <v>3</v>
      </c>
      <c r="F87" s="144">
        <v>16188</v>
      </c>
      <c r="G87" s="145">
        <f t="shared" si="39"/>
        <v>48564</v>
      </c>
      <c r="H87" s="34">
        <f>'[3]APUS '!H1953</f>
        <v>16188</v>
      </c>
      <c r="I87" s="34">
        <f t="shared" si="51"/>
        <v>0</v>
      </c>
      <c r="J87" s="35">
        <f>'[3]APUS '!H1960</f>
        <v>21691</v>
      </c>
      <c r="K87" s="32">
        <v>1</v>
      </c>
      <c r="L87" s="32">
        <f>ROUNDUP(('[3]APUS '!$I$1912/8)/$K$87,0)</f>
        <v>1</v>
      </c>
      <c r="M87" s="36">
        <f t="shared" si="43"/>
        <v>65073</v>
      </c>
      <c r="N87" s="37">
        <f t="shared" si="44"/>
        <v>48564</v>
      </c>
      <c r="O87" s="38">
        <f t="shared" si="45"/>
        <v>48564</v>
      </c>
      <c r="P87" s="39"/>
      <c r="Q87" s="40">
        <f>ROUND('[3]APUS '!H1948*E87,0)+ROUND('[3]APUS '!H1951*E87,0)</f>
        <v>1410</v>
      </c>
      <c r="R87" s="41">
        <f>ROUND('[3]APUS '!H1945*E87,0)</f>
        <v>555</v>
      </c>
      <c r="S87" s="41">
        <f>ROUND('[3]APUS '!H1942*E87,0)</f>
        <v>6182</v>
      </c>
      <c r="T87" s="42">
        <f>ROUND('[3]APUS '!H1939*E87,0)</f>
        <v>40416</v>
      </c>
      <c r="U87" s="43">
        <f t="shared" si="46"/>
        <v>48563</v>
      </c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1"/>
      <c r="AG87" s="45"/>
      <c r="AH87" s="46" t="str">
        <f t="shared" si="37"/>
        <v>CAP. 5: ACCESORIOS HIDRAULICOS</v>
      </c>
      <c r="AI87" s="47">
        <f t="shared" si="38"/>
        <v>51</v>
      </c>
      <c r="AJ87" s="47"/>
      <c r="AK87" s="47"/>
      <c r="AL87" s="48"/>
      <c r="AM87" s="49"/>
      <c r="AN87" s="84"/>
      <c r="AP87" s="50">
        <f t="shared" si="47"/>
        <v>3</v>
      </c>
      <c r="AQ87" s="51"/>
      <c r="AR87" s="52">
        <f t="shared" si="48"/>
        <v>3</v>
      </c>
      <c r="AS87" s="53">
        <f t="shared" si="49"/>
        <v>16188</v>
      </c>
      <c r="AT87" s="54">
        <f t="shared" si="50"/>
        <v>48564</v>
      </c>
      <c r="AU87" s="84"/>
      <c r="AV87" s="85"/>
      <c r="AW87" s="412">
        <f t="shared" si="40"/>
        <v>21692</v>
      </c>
      <c r="AX87" s="412">
        <f t="shared" si="41"/>
        <v>-1</v>
      </c>
      <c r="AY87" s="419">
        <f t="shared" si="42"/>
        <v>65076</v>
      </c>
    </row>
    <row r="88" spans="1:51" x14ac:dyDescent="0.25">
      <c r="A88" s="27" t="s">
        <v>271</v>
      </c>
      <c r="B88" s="28" t="s">
        <v>272</v>
      </c>
      <c r="C88" s="29" t="s">
        <v>273</v>
      </c>
      <c r="D88" s="30" t="s">
        <v>90</v>
      </c>
      <c r="E88" s="143">
        <v>5</v>
      </c>
      <c r="F88" s="144">
        <v>526560</v>
      </c>
      <c r="G88" s="145">
        <f t="shared" si="39"/>
        <v>2632800</v>
      </c>
      <c r="H88" s="34">
        <f>'[3]APUS '!H1983</f>
        <v>526560</v>
      </c>
      <c r="I88" s="34">
        <f t="shared" si="51"/>
        <v>0</v>
      </c>
      <c r="J88" s="35">
        <f>'[3]APUS '!H1990</f>
        <v>705564</v>
      </c>
      <c r="K88" s="32">
        <v>1</v>
      </c>
      <c r="L88" s="32">
        <f>ROUNDUP(('[3]APUS '!$I$1942/8)/$K$88,0)</f>
        <v>2</v>
      </c>
      <c r="M88" s="36">
        <f t="shared" si="43"/>
        <v>3527820</v>
      </c>
      <c r="N88" s="37">
        <f t="shared" si="44"/>
        <v>2632800</v>
      </c>
      <c r="O88" s="38">
        <f t="shared" si="45"/>
        <v>2632800</v>
      </c>
      <c r="P88" s="39"/>
      <c r="Q88" s="40">
        <f>ROUND('[3]APUS '!H1978*E88,0)+ROUND('[3]APUS '!H1981*E88,0)</f>
        <v>2295</v>
      </c>
      <c r="R88" s="41">
        <f>ROUND('[3]APUS '!H1975*E88,0)</f>
        <v>2313</v>
      </c>
      <c r="S88" s="41">
        <f>ROUND('[3]APUS '!H1972*E88,0)</f>
        <v>355963</v>
      </c>
      <c r="T88" s="42">
        <f>ROUND('[3]APUS '!H1969*E88,0)</f>
        <v>2272230</v>
      </c>
      <c r="U88" s="43">
        <f t="shared" si="46"/>
        <v>2632801</v>
      </c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1"/>
      <c r="AG88" s="45"/>
      <c r="AH88" s="46" t="str">
        <f t="shared" si="37"/>
        <v>CAP. 5: ACCESORIOS HIDRAULICOS</v>
      </c>
      <c r="AI88" s="47">
        <f t="shared" si="38"/>
        <v>51</v>
      </c>
      <c r="AJ88" s="47"/>
      <c r="AK88" s="47"/>
      <c r="AL88" s="48"/>
      <c r="AM88" s="49"/>
      <c r="AN88" s="84"/>
      <c r="AP88" s="50">
        <f t="shared" si="47"/>
        <v>5</v>
      </c>
      <c r="AQ88" s="51"/>
      <c r="AR88" s="52">
        <f t="shared" si="48"/>
        <v>5</v>
      </c>
      <c r="AS88" s="53">
        <f t="shared" si="49"/>
        <v>526560</v>
      </c>
      <c r="AT88" s="54">
        <f t="shared" si="50"/>
        <v>2632800</v>
      </c>
      <c r="AU88" s="84"/>
      <c r="AV88" s="85"/>
      <c r="AW88" s="412">
        <f t="shared" si="40"/>
        <v>705590</v>
      </c>
      <c r="AX88" s="412">
        <f t="shared" si="41"/>
        <v>-26</v>
      </c>
      <c r="AY88" s="419">
        <f t="shared" si="42"/>
        <v>3527950</v>
      </c>
    </row>
    <row r="89" spans="1:51" x14ac:dyDescent="0.25">
      <c r="A89" s="27" t="s">
        <v>274</v>
      </c>
      <c r="B89" s="28" t="s">
        <v>275</v>
      </c>
      <c r="C89" s="29" t="s">
        <v>276</v>
      </c>
      <c r="D89" s="30" t="s">
        <v>90</v>
      </c>
      <c r="E89" s="143">
        <v>3</v>
      </c>
      <c r="F89" s="144">
        <v>993787</v>
      </c>
      <c r="G89" s="145">
        <f t="shared" si="39"/>
        <v>2981361</v>
      </c>
      <c r="H89" s="34">
        <f>'[3]APUS '!H2013</f>
        <v>993787</v>
      </c>
      <c r="I89" s="34">
        <f t="shared" si="51"/>
        <v>0</v>
      </c>
      <c r="J89" s="35">
        <f>'[3]APUS '!H2020</f>
        <v>1331625</v>
      </c>
      <c r="K89" s="32">
        <v>1</v>
      </c>
      <c r="L89" s="32">
        <f>ROUNDUP(('[3]APUS '!$I$1972/8)/$K$89,0)</f>
        <v>1</v>
      </c>
      <c r="M89" s="36">
        <f t="shared" si="43"/>
        <v>3994875</v>
      </c>
      <c r="N89" s="37">
        <f t="shared" si="44"/>
        <v>2981361</v>
      </c>
      <c r="O89" s="38">
        <f t="shared" si="45"/>
        <v>2981361</v>
      </c>
      <c r="P89" s="39"/>
      <c r="Q89" s="40">
        <f>ROUND('[3]APUS '!H2008*E89,0)+ROUND('[3]APUS '!H2011*E89,0)</f>
        <v>3693</v>
      </c>
      <c r="R89" s="41">
        <f>ROUND('[3]APUS '!H2005*E89,0)</f>
        <v>1388</v>
      </c>
      <c r="S89" s="41">
        <f>ROUND('[3]APUS '!H2002*E89,0)</f>
        <v>213578</v>
      </c>
      <c r="T89" s="42">
        <f>ROUND('[3]APUS '!H1999*E89,0)</f>
        <v>2762703</v>
      </c>
      <c r="U89" s="43">
        <f t="shared" si="46"/>
        <v>2981362</v>
      </c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1"/>
      <c r="AG89" s="45"/>
      <c r="AH89" s="46" t="str">
        <f t="shared" si="37"/>
        <v>CAP. 5: ACCESORIOS HIDRAULICOS</v>
      </c>
      <c r="AI89" s="47">
        <f t="shared" si="38"/>
        <v>51</v>
      </c>
      <c r="AJ89" s="47"/>
      <c r="AK89" s="47"/>
      <c r="AL89" s="48"/>
      <c r="AM89" s="49"/>
      <c r="AN89" s="84"/>
      <c r="AP89" s="50">
        <f t="shared" si="47"/>
        <v>3</v>
      </c>
      <c r="AQ89" s="51"/>
      <c r="AR89" s="52">
        <f t="shared" si="48"/>
        <v>3</v>
      </c>
      <c r="AS89" s="53">
        <f t="shared" si="49"/>
        <v>993787</v>
      </c>
      <c r="AT89" s="54">
        <f t="shared" si="50"/>
        <v>2981361</v>
      </c>
      <c r="AU89" s="84"/>
      <c r="AV89" s="85"/>
      <c r="AW89" s="412">
        <f t="shared" si="40"/>
        <v>1331675</v>
      </c>
      <c r="AX89" s="412">
        <f t="shared" si="41"/>
        <v>-50</v>
      </c>
      <c r="AY89" s="419">
        <f t="shared" si="42"/>
        <v>3995025</v>
      </c>
    </row>
    <row r="90" spans="1:51" x14ac:dyDescent="0.25">
      <c r="A90" s="27" t="s">
        <v>277</v>
      </c>
      <c r="B90" s="28" t="s">
        <v>278</v>
      </c>
      <c r="C90" s="29" t="s">
        <v>279</v>
      </c>
      <c r="D90" s="30" t="s">
        <v>90</v>
      </c>
      <c r="E90" s="143">
        <v>2</v>
      </c>
      <c r="F90" s="144">
        <v>138306</v>
      </c>
      <c r="G90" s="145">
        <f t="shared" si="39"/>
        <v>276612</v>
      </c>
      <c r="H90" s="34">
        <f>'[3]APUS '!H2044</f>
        <v>138306</v>
      </c>
      <c r="I90" s="34">
        <f t="shared" si="51"/>
        <v>0</v>
      </c>
      <c r="J90" s="35">
        <f>'[3]APUS '!H2051</f>
        <v>185323</v>
      </c>
      <c r="K90" s="32">
        <v>1</v>
      </c>
      <c r="L90" s="32">
        <f>ROUNDUP(('[3]APUS '!$I$2003/8)/$K$90,0)</f>
        <v>1</v>
      </c>
      <c r="M90" s="36">
        <f t="shared" si="43"/>
        <v>370646</v>
      </c>
      <c r="N90" s="37">
        <f t="shared" si="44"/>
        <v>276612</v>
      </c>
      <c r="O90" s="38">
        <f t="shared" si="45"/>
        <v>276612</v>
      </c>
      <c r="P90" s="39"/>
      <c r="Q90" s="40">
        <f>ROUND('[3]APUS '!H2039*E90,0)+ROUND('[3]APUS '!H2042*E90,0)</f>
        <v>584</v>
      </c>
      <c r="R90" s="41">
        <f>ROUND('[3]APUS '!H2036*E90,0)</f>
        <v>370</v>
      </c>
      <c r="S90" s="41">
        <f>ROUND('[3]APUS '!H2033*E90,0)</f>
        <v>85431</v>
      </c>
      <c r="T90" s="42">
        <f>ROUND('[3]APUS '!H2030*E90,0)</f>
        <v>190228</v>
      </c>
      <c r="U90" s="43">
        <f t="shared" si="46"/>
        <v>276613</v>
      </c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1"/>
      <c r="AG90" s="45"/>
      <c r="AH90" s="46" t="str">
        <f t="shared" si="37"/>
        <v>CAP. 5: ACCESORIOS HIDRAULICOS</v>
      </c>
      <c r="AI90" s="47">
        <f t="shared" si="38"/>
        <v>51</v>
      </c>
      <c r="AJ90" s="47"/>
      <c r="AK90" s="47"/>
      <c r="AL90" s="48"/>
      <c r="AM90" s="49"/>
      <c r="AN90" s="84"/>
      <c r="AP90" s="50">
        <f t="shared" si="47"/>
        <v>2</v>
      </c>
      <c r="AQ90" s="51"/>
      <c r="AR90" s="52">
        <f t="shared" si="48"/>
        <v>2</v>
      </c>
      <c r="AS90" s="53">
        <f t="shared" si="49"/>
        <v>138306</v>
      </c>
      <c r="AT90" s="54">
        <f t="shared" si="50"/>
        <v>276612</v>
      </c>
      <c r="AU90" s="84"/>
      <c r="AV90" s="85"/>
      <c r="AW90" s="412">
        <f t="shared" si="40"/>
        <v>185330</v>
      </c>
      <c r="AX90" s="412">
        <f t="shared" si="41"/>
        <v>-7</v>
      </c>
      <c r="AY90" s="419">
        <f t="shared" si="42"/>
        <v>370660</v>
      </c>
    </row>
    <row r="91" spans="1:51" x14ac:dyDescent="0.25">
      <c r="A91" s="27" t="s">
        <v>280</v>
      </c>
      <c r="B91" s="28" t="s">
        <v>281</v>
      </c>
      <c r="C91" s="29" t="s">
        <v>282</v>
      </c>
      <c r="D91" s="30" t="s">
        <v>90</v>
      </c>
      <c r="E91" s="143">
        <v>22</v>
      </c>
      <c r="F91" s="144">
        <v>652013</v>
      </c>
      <c r="G91" s="145">
        <f t="shared" si="39"/>
        <v>14344286</v>
      </c>
      <c r="H91" s="34">
        <f>'[3]APUS '!H2116</f>
        <v>652013</v>
      </c>
      <c r="I91" s="34">
        <f t="shared" si="51"/>
        <v>0</v>
      </c>
      <c r="J91" s="35">
        <f>'[3]APUS '!H2123</f>
        <v>873665</v>
      </c>
      <c r="K91" s="32">
        <v>1</v>
      </c>
      <c r="L91" s="32">
        <f>ROUNDUP(('[3]APUS '!$I$1995/8)/$K$91,0)</f>
        <v>1</v>
      </c>
      <c r="M91" s="36">
        <f t="shared" si="43"/>
        <v>19220630</v>
      </c>
      <c r="N91" s="37">
        <f t="shared" si="44"/>
        <v>14344286</v>
      </c>
      <c r="O91" s="38">
        <f t="shared" si="45"/>
        <v>14344286</v>
      </c>
      <c r="P91" s="39"/>
      <c r="Q91" s="40">
        <f>ROUND('[3]APUS '!H2111*E91,0)+ROUND('[3]APUS '!H2114*E91,0)</f>
        <v>13959</v>
      </c>
      <c r="R91" s="41">
        <f>ROUND('[3]APUS '!H2108*E91,0)</f>
        <v>231660</v>
      </c>
      <c r="S91" s="41">
        <f>ROUND('[3]APUS '!H2104*E91,0)</f>
        <v>3307836</v>
      </c>
      <c r="T91" s="42">
        <f>ROUND('[3]APUS '!H2099*E91,0)</f>
        <v>10790828</v>
      </c>
      <c r="U91" s="43">
        <f t="shared" si="46"/>
        <v>14344283</v>
      </c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1"/>
      <c r="AG91" s="45"/>
      <c r="AH91" s="46" t="str">
        <f t="shared" si="37"/>
        <v>CAP. 5: ACCESORIOS HIDRAULICOS</v>
      </c>
      <c r="AI91" s="47">
        <f t="shared" si="38"/>
        <v>51</v>
      </c>
      <c r="AJ91" s="47"/>
      <c r="AK91" s="47"/>
      <c r="AL91" s="48"/>
      <c r="AM91" s="49"/>
      <c r="AN91" s="84"/>
      <c r="AP91" s="50">
        <f t="shared" si="47"/>
        <v>22</v>
      </c>
      <c r="AQ91" s="51"/>
      <c r="AR91" s="52">
        <f t="shared" si="48"/>
        <v>22</v>
      </c>
      <c r="AS91" s="53">
        <f t="shared" si="49"/>
        <v>652013</v>
      </c>
      <c r="AT91" s="54">
        <f t="shared" si="50"/>
        <v>14344286</v>
      </c>
      <c r="AU91" s="84"/>
      <c r="AV91" s="85"/>
      <c r="AW91" s="412">
        <f t="shared" si="40"/>
        <v>873697</v>
      </c>
      <c r="AX91" s="412">
        <f t="shared" si="41"/>
        <v>-32</v>
      </c>
      <c r="AY91" s="419">
        <f t="shared" si="42"/>
        <v>19221334</v>
      </c>
    </row>
    <row r="92" spans="1:51" x14ac:dyDescent="0.25">
      <c r="A92" s="27" t="s">
        <v>283</v>
      </c>
      <c r="B92" s="28" t="s">
        <v>284</v>
      </c>
      <c r="C92" s="29" t="s">
        <v>285</v>
      </c>
      <c r="D92" s="30" t="s">
        <v>90</v>
      </c>
      <c r="E92" s="143">
        <v>13</v>
      </c>
      <c r="F92" s="144">
        <v>203933</v>
      </c>
      <c r="G92" s="145">
        <f t="shared" si="39"/>
        <v>2651129</v>
      </c>
      <c r="H92" s="34">
        <f>'[3]APUS '!H2152</f>
        <v>203933</v>
      </c>
      <c r="I92" s="34">
        <f t="shared" si="51"/>
        <v>0</v>
      </c>
      <c r="J92" s="35">
        <f>'[3]APUS '!H2159</f>
        <v>273260</v>
      </c>
      <c r="K92" s="32">
        <v>1</v>
      </c>
      <c r="L92" s="32">
        <f>ROUNDUP(('[3]APUS '!$I$2079/8)/$K$92,0)</f>
        <v>0</v>
      </c>
      <c r="M92" s="36">
        <f t="shared" si="43"/>
        <v>3552380</v>
      </c>
      <c r="N92" s="37">
        <f t="shared" si="44"/>
        <v>2651129</v>
      </c>
      <c r="O92" s="38">
        <f t="shared" si="45"/>
        <v>2651129</v>
      </c>
      <c r="P92" s="39"/>
      <c r="Q92" s="40">
        <f>ROUND('[3]APUS '!H2147*E92,0)+ROUND('[3]APUS '!H2150*E92,0)</f>
        <v>15215</v>
      </c>
      <c r="R92" s="41">
        <f>ROUND('[3]APUS '!H2144*E92,0)</f>
        <v>36665</v>
      </c>
      <c r="S92" s="41">
        <f>ROUND('[3]APUS '!H2140*E92,0)</f>
        <v>896822</v>
      </c>
      <c r="T92" s="42">
        <f>ROUND('[3]APUS '!H2136*E92,0)</f>
        <v>1702430</v>
      </c>
      <c r="U92" s="43">
        <f t="shared" si="46"/>
        <v>2651132</v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1"/>
      <c r="AG92" s="45"/>
      <c r="AH92" s="46" t="str">
        <f t="shared" si="37"/>
        <v>CAP. 5: ACCESORIOS HIDRAULICOS</v>
      </c>
      <c r="AI92" s="47">
        <f t="shared" si="38"/>
        <v>51</v>
      </c>
      <c r="AJ92" s="47"/>
      <c r="AK92" s="47"/>
      <c r="AL92" s="48"/>
      <c r="AM92" s="49"/>
      <c r="AN92" s="84"/>
      <c r="AP92" s="50">
        <f t="shared" si="47"/>
        <v>13</v>
      </c>
      <c r="AQ92" s="51"/>
      <c r="AR92" s="52">
        <f t="shared" si="48"/>
        <v>13</v>
      </c>
      <c r="AS92" s="53">
        <f t="shared" si="49"/>
        <v>203933</v>
      </c>
      <c r="AT92" s="54">
        <f t="shared" si="50"/>
        <v>2651129</v>
      </c>
      <c r="AU92" s="84"/>
      <c r="AV92" s="85"/>
      <c r="AW92" s="412">
        <f t="shared" si="40"/>
        <v>273270</v>
      </c>
      <c r="AX92" s="412">
        <f t="shared" si="41"/>
        <v>-10</v>
      </c>
      <c r="AY92" s="419">
        <f t="shared" si="42"/>
        <v>3552510</v>
      </c>
    </row>
    <row r="93" spans="1:51" ht="15.75" thickBot="1" x14ac:dyDescent="0.3">
      <c r="A93" s="146"/>
      <c r="B93" s="147"/>
      <c r="C93" s="29"/>
      <c r="D93" s="30"/>
      <c r="E93" s="148"/>
      <c r="F93" s="144"/>
      <c r="G93" s="33"/>
      <c r="H93" s="165"/>
      <c r="I93" s="34">
        <f t="shared" si="51"/>
        <v>0</v>
      </c>
      <c r="J93" s="32"/>
      <c r="K93" s="32"/>
      <c r="L93" s="32"/>
      <c r="M93" s="36"/>
      <c r="N93" s="37"/>
      <c r="O93" s="151"/>
      <c r="P93" s="39"/>
      <c r="Q93" s="40"/>
      <c r="R93" s="41"/>
      <c r="S93" s="41"/>
      <c r="T93" s="42"/>
      <c r="U93" s="43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1"/>
      <c r="AG93" s="45"/>
      <c r="AH93" s="46" t="str">
        <f t="shared" si="37"/>
        <v>CAP. 5: ACCESORIOS HIDRAULICOS</v>
      </c>
      <c r="AI93" s="47">
        <f t="shared" si="38"/>
        <v>51</v>
      </c>
      <c r="AJ93" s="47"/>
      <c r="AK93" s="47"/>
      <c r="AL93" s="48"/>
      <c r="AM93" s="49"/>
      <c r="AN93" s="84"/>
      <c r="AP93" s="50">
        <f t="shared" si="47"/>
        <v>0</v>
      </c>
      <c r="AQ93" s="51"/>
      <c r="AR93" s="52">
        <f t="shared" si="48"/>
        <v>0</v>
      </c>
      <c r="AS93" s="53">
        <f t="shared" si="49"/>
        <v>0</v>
      </c>
      <c r="AT93" s="54">
        <f t="shared" si="50"/>
        <v>0</v>
      </c>
      <c r="AU93" s="84"/>
      <c r="AV93" s="85"/>
      <c r="AW93" s="412"/>
      <c r="AX93" s="412"/>
    </row>
    <row r="94" spans="1:51" ht="15.75" thickBot="1" x14ac:dyDescent="0.3">
      <c r="A94" s="152" t="s">
        <v>105</v>
      </c>
      <c r="B94" s="153"/>
      <c r="C94" s="154"/>
      <c r="D94" s="155"/>
      <c r="E94" s="156"/>
      <c r="F94" s="157" t="s">
        <v>368</v>
      </c>
      <c r="G94" s="169">
        <f>SUM(G52:G93)</f>
        <v>145066804</v>
      </c>
      <c r="H94" s="165"/>
      <c r="I94" s="34" t="e">
        <f t="shared" si="51"/>
        <v>#VALUE!</v>
      </c>
      <c r="J94" s="32"/>
      <c r="K94" s="32"/>
      <c r="L94" s="32"/>
      <c r="M94" s="36"/>
      <c r="N94" s="37"/>
      <c r="O94" s="159">
        <f>SUM(O55:O93)</f>
        <v>137011093</v>
      </c>
      <c r="P94" s="39"/>
      <c r="Q94" s="160" t="e">
        <f>SUM(Q51:Q93)</f>
        <v>#REF!</v>
      </c>
      <c r="R94" s="161" t="e">
        <f>SUM(R51:R93)</f>
        <v>#REF!</v>
      </c>
      <c r="S94" s="161" t="e">
        <f>SUM(S51:S93)</f>
        <v>#REF!</v>
      </c>
      <c r="T94" s="162" t="e">
        <f>SUM(T51:T93)</f>
        <v>#REF!</v>
      </c>
      <c r="U94" s="163" t="e">
        <f>SUM(U51:U93)</f>
        <v>#REF!</v>
      </c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1"/>
      <c r="AG94" s="45"/>
      <c r="AH94" s="46" t="str">
        <f t="shared" si="37"/>
        <v>CAP. 5: ACCESORIOS HIDRAULICOS</v>
      </c>
      <c r="AI94" s="47">
        <f t="shared" si="38"/>
        <v>51</v>
      </c>
      <c r="AJ94" s="47"/>
      <c r="AK94" s="47"/>
      <c r="AL94" s="48"/>
      <c r="AM94" s="49"/>
      <c r="AN94" s="84"/>
      <c r="AP94" s="140"/>
      <c r="AQ94" s="141"/>
      <c r="AR94" s="141"/>
      <c r="AS94" s="141"/>
      <c r="AT94" s="142">
        <f>SUM(AT55:AT93)</f>
        <v>137011093</v>
      </c>
      <c r="AU94" s="84"/>
      <c r="AV94" s="85"/>
      <c r="AW94" s="412"/>
      <c r="AX94" s="412"/>
    </row>
    <row r="95" spans="1:51" ht="23.1" customHeight="1" thickBot="1" x14ac:dyDescent="0.3">
      <c r="A95" s="80"/>
      <c r="B95" s="122"/>
      <c r="C95" s="123"/>
      <c r="D95" s="124"/>
      <c r="E95" s="164"/>
      <c r="F95" s="126"/>
      <c r="G95" s="127"/>
      <c r="I95" s="34">
        <f t="shared" si="51"/>
        <v>0</v>
      </c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1"/>
      <c r="AG95" s="45"/>
      <c r="AH95" s="46"/>
      <c r="AI95" s="47"/>
      <c r="AJ95" s="47"/>
      <c r="AK95" s="47"/>
      <c r="AL95" s="48"/>
      <c r="AM95" s="49"/>
      <c r="AN95" s="84"/>
      <c r="AU95" s="84"/>
      <c r="AV95" s="85"/>
      <c r="AW95" s="412"/>
      <c r="AX95" s="412"/>
    </row>
    <row r="96" spans="1:51" x14ac:dyDescent="0.25">
      <c r="A96" s="128" t="s">
        <v>98</v>
      </c>
      <c r="B96" s="129">
        <v>6</v>
      </c>
      <c r="C96" s="130" t="s">
        <v>286</v>
      </c>
      <c r="D96" s="131"/>
      <c r="E96" s="132"/>
      <c r="F96" s="133"/>
      <c r="G96" s="134">
        <f>SUM(G97:G101)</f>
        <v>38427590</v>
      </c>
      <c r="H96" s="26"/>
      <c r="I96" s="34">
        <f t="shared" si="51"/>
        <v>0</v>
      </c>
      <c r="J96" s="26"/>
      <c r="K96" s="26"/>
      <c r="L96" s="26"/>
      <c r="M96" s="26"/>
      <c r="N96" s="26"/>
      <c r="O96" s="135">
        <f>SUM(O97:O101)</f>
        <v>38427590</v>
      </c>
      <c r="P96" s="44"/>
      <c r="Q96" s="136"/>
      <c r="R96" s="137"/>
      <c r="S96" s="137"/>
      <c r="T96" s="138"/>
      <c r="U96" s="139"/>
      <c r="V96" s="110">
        <f>IF(G96&lt;&gt;"",O96-G96*$O$2,0)</f>
        <v>0</v>
      </c>
      <c r="W96" s="110" t="s">
        <v>100</v>
      </c>
      <c r="X96" s="110"/>
      <c r="Y96" s="110"/>
      <c r="Z96" s="110"/>
      <c r="AA96" s="110"/>
      <c r="AB96" s="110"/>
      <c r="AC96" s="110"/>
      <c r="AD96" s="110"/>
      <c r="AE96" s="110"/>
      <c r="AF96" s="111"/>
      <c r="AG96" s="45"/>
      <c r="AH96" s="46" t="str">
        <f t="shared" ref="AH96:AH102" si="52">"CAP. " &amp; $B$96 &amp; ": " &amp; $C$96</f>
        <v>CAP. 6: MANO DE OBRA - DOMICILIARES DE ACUEDUCTO</v>
      </c>
      <c r="AI96" s="47">
        <f t="shared" ref="AI96:AI102" si="53">ROW($B$96)</f>
        <v>96</v>
      </c>
      <c r="AJ96" s="47"/>
      <c r="AK96" s="47"/>
      <c r="AL96" s="48"/>
      <c r="AM96" s="49"/>
      <c r="AN96" s="84"/>
      <c r="AP96" s="140"/>
      <c r="AQ96" s="141"/>
      <c r="AR96" s="141"/>
      <c r="AS96" s="141"/>
      <c r="AT96" s="142">
        <f>SUM(AT97:AT101)</f>
        <v>38427590</v>
      </c>
      <c r="AU96" s="84"/>
      <c r="AV96" s="85"/>
      <c r="AW96" s="412"/>
      <c r="AX96" s="412"/>
    </row>
    <row r="97" spans="1:51" x14ac:dyDescent="0.25">
      <c r="A97" s="27" t="s">
        <v>287</v>
      </c>
      <c r="B97" s="28" t="s">
        <v>288</v>
      </c>
      <c r="C97" s="29" t="s">
        <v>289</v>
      </c>
      <c r="D97" s="30" t="s">
        <v>90</v>
      </c>
      <c r="E97" s="143">
        <v>250</v>
      </c>
      <c r="F97" s="144">
        <v>30004</v>
      </c>
      <c r="G97" s="145">
        <f t="shared" ref="G97:G100" si="54">+ROUND(F97*E97,0)</f>
        <v>7501000</v>
      </c>
      <c r="H97" s="34">
        <f>'[3]APUS '!H2179</f>
        <v>30004</v>
      </c>
      <c r="I97" s="34">
        <f t="shared" si="51"/>
        <v>0</v>
      </c>
      <c r="J97" s="35">
        <f>'[3]APUS '!H2186</f>
        <v>40204</v>
      </c>
      <c r="K97" s="32">
        <v>1</v>
      </c>
      <c r="L97" s="32">
        <f>ROUNDUP(('[3]APUS '!$I$2138/8)/$K$97,0)</f>
        <v>32</v>
      </c>
      <c r="M97" s="36">
        <f>ROUND(J97 * E97,$K$2)</f>
        <v>10051000</v>
      </c>
      <c r="N97" s="37">
        <f>ROUND(H97 * E97,$K$2)</f>
        <v>7501000</v>
      </c>
      <c r="O97" s="38">
        <f>G97*$O$2</f>
        <v>7501000</v>
      </c>
      <c r="P97" s="39"/>
      <c r="Q97" s="40">
        <f>ROUND('[3]APUS '!H2174*E97,0)+ROUND('[3]APUS '!H2177*E97,0)</f>
        <v>335448</v>
      </c>
      <c r="R97" s="41">
        <f>ROUND('[3]APUS '!H2171*E97,0)</f>
        <v>46250</v>
      </c>
      <c r="S97" s="41">
        <f>ROUND('[3]APUS '!H2168*E97,0)</f>
        <v>7119250</v>
      </c>
      <c r="T97" s="42"/>
      <c r="U97" s="43">
        <f>Q97+R97+S97+T97</f>
        <v>7500948</v>
      </c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1"/>
      <c r="AG97" s="45"/>
      <c r="AH97" s="46" t="str">
        <f t="shared" si="52"/>
        <v>CAP. 6: MANO DE OBRA - DOMICILIARES DE ACUEDUCTO</v>
      </c>
      <c r="AI97" s="47">
        <f t="shared" si="53"/>
        <v>96</v>
      </c>
      <c r="AJ97" s="47"/>
      <c r="AK97" s="47"/>
      <c r="AL97" s="48"/>
      <c r="AM97" s="49"/>
      <c r="AN97" s="84"/>
      <c r="AP97" s="50">
        <f>E97</f>
        <v>250</v>
      </c>
      <c r="AQ97" s="51"/>
      <c r="AR97" s="52">
        <f t="shared" ref="AR97:AR101" si="55">AP97+AQ97</f>
        <v>250</v>
      </c>
      <c r="AS97" s="53">
        <f>F97</f>
        <v>30004</v>
      </c>
      <c r="AT97" s="54">
        <f t="shared" ref="AT97:AT101" si="56">ROUND(AR97 * AS97,$K$2)</f>
        <v>7501000</v>
      </c>
      <c r="AU97" s="84"/>
      <c r="AV97" s="85"/>
      <c r="AW97" s="412">
        <f>ROUND(F97*1.34,0)</f>
        <v>40205</v>
      </c>
      <c r="AX97" s="412">
        <f t="shared" ref="AX97:AX100" si="57">+J97-AW97</f>
        <v>-1</v>
      </c>
      <c r="AY97" s="419">
        <f t="shared" ref="AY97:AY100" si="58">+ROUND(E97*AW97,0)</f>
        <v>10051250</v>
      </c>
    </row>
    <row r="98" spans="1:51" x14ac:dyDescent="0.25">
      <c r="A98" s="27" t="s">
        <v>290</v>
      </c>
      <c r="B98" s="28" t="s">
        <v>291</v>
      </c>
      <c r="C98" s="29" t="s">
        <v>292</v>
      </c>
      <c r="D98" s="30" t="s">
        <v>90</v>
      </c>
      <c r="E98" s="143">
        <v>450</v>
      </c>
      <c r="F98" s="144">
        <v>29348</v>
      </c>
      <c r="G98" s="145">
        <f t="shared" si="54"/>
        <v>13206600</v>
      </c>
      <c r="H98" s="34">
        <f>'[3]APUS '!H2206</f>
        <v>29348</v>
      </c>
      <c r="I98" s="34">
        <f t="shared" si="51"/>
        <v>0</v>
      </c>
      <c r="J98" s="35">
        <f>'[3]APUS '!H2213</f>
        <v>39325</v>
      </c>
      <c r="K98" s="32">
        <v>1</v>
      </c>
      <c r="L98" s="32">
        <f>ROUNDUP(('[3]APUS '!$I$2165/8)/$K$98,0)</f>
        <v>57</v>
      </c>
      <c r="M98" s="36">
        <f>ROUND(J98 * E98,$K$2)</f>
        <v>17696250</v>
      </c>
      <c r="N98" s="37">
        <f>ROUND(H98 * E98,$K$2)</f>
        <v>13206600</v>
      </c>
      <c r="O98" s="38">
        <f>G98*$O$2</f>
        <v>13206600</v>
      </c>
      <c r="P98" s="39"/>
      <c r="Q98" s="40">
        <f>ROUND('[3]APUS '!H2201*E98,0)+ROUND('[3]APUS '!H2204*E98,0)</f>
        <v>310293</v>
      </c>
      <c r="R98" s="41">
        <f>ROUND('[3]APUS '!H2198*E98,0)</f>
        <v>81585</v>
      </c>
      <c r="S98" s="41">
        <f>ROUND('[3]APUS '!H2195*E98,0)</f>
        <v>12814650</v>
      </c>
      <c r="T98" s="42"/>
      <c r="U98" s="43">
        <f>Q98+R98+S98+T98</f>
        <v>13206528</v>
      </c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1"/>
      <c r="AG98" s="45"/>
      <c r="AH98" s="46" t="str">
        <f t="shared" si="52"/>
        <v>CAP. 6: MANO DE OBRA - DOMICILIARES DE ACUEDUCTO</v>
      </c>
      <c r="AI98" s="47">
        <f t="shared" si="53"/>
        <v>96</v>
      </c>
      <c r="AJ98" s="47"/>
      <c r="AK98" s="47"/>
      <c r="AL98" s="48"/>
      <c r="AM98" s="49"/>
      <c r="AN98" s="84"/>
      <c r="AP98" s="50">
        <f>E98</f>
        <v>450</v>
      </c>
      <c r="AQ98" s="51"/>
      <c r="AR98" s="52">
        <f t="shared" si="55"/>
        <v>450</v>
      </c>
      <c r="AS98" s="53">
        <f>F98</f>
        <v>29348</v>
      </c>
      <c r="AT98" s="54">
        <f t="shared" si="56"/>
        <v>13206600</v>
      </c>
      <c r="AU98" s="84"/>
      <c r="AV98" s="85"/>
      <c r="AW98" s="412">
        <f t="shared" ref="AW98:AW100" si="59">ROUND(F98*1.34,0)</f>
        <v>39326</v>
      </c>
      <c r="AX98" s="412">
        <f t="shared" si="57"/>
        <v>-1</v>
      </c>
      <c r="AY98" s="419">
        <f t="shared" si="58"/>
        <v>17696700</v>
      </c>
    </row>
    <row r="99" spans="1:51" x14ac:dyDescent="0.25">
      <c r="A99" s="27" t="s">
        <v>293</v>
      </c>
      <c r="B99" s="28" t="s">
        <v>294</v>
      </c>
      <c r="C99" s="29" t="s">
        <v>295</v>
      </c>
      <c r="D99" s="30" t="s">
        <v>90</v>
      </c>
      <c r="E99" s="143">
        <v>10</v>
      </c>
      <c r="F99" s="144">
        <v>43646</v>
      </c>
      <c r="G99" s="145">
        <f t="shared" si="54"/>
        <v>436460</v>
      </c>
      <c r="H99" s="34">
        <f>'[3]APUS '!H2233</f>
        <v>43646</v>
      </c>
      <c r="I99" s="34">
        <f t="shared" si="51"/>
        <v>0</v>
      </c>
      <c r="J99" s="35">
        <f>'[3]APUS '!H2240</f>
        <v>58483</v>
      </c>
      <c r="K99" s="32">
        <v>1</v>
      </c>
      <c r="L99" s="32">
        <f>ROUNDUP(('[3]APUS '!$I$2192/8)/$K$99,0)</f>
        <v>2</v>
      </c>
      <c r="M99" s="36">
        <f>ROUND(J99 * E99,$K$2)</f>
        <v>584830</v>
      </c>
      <c r="N99" s="37">
        <f>ROUND(H99 * E99,$K$2)</f>
        <v>436460</v>
      </c>
      <c r="O99" s="38">
        <f>G99*$O$2</f>
        <v>436460</v>
      </c>
      <c r="P99" s="39"/>
      <c r="Q99" s="40">
        <f>ROUND('[3]APUS '!H2228*E99,0)+ROUND('[3]APUS '!H2231*E99,0)</f>
        <v>7496</v>
      </c>
      <c r="R99" s="41">
        <f>ROUND('[3]APUS '!H2225*E99,0)</f>
        <v>1813</v>
      </c>
      <c r="S99" s="41">
        <f>ROUND('[3]APUS '!H2222*E99,0)</f>
        <v>427155</v>
      </c>
      <c r="T99" s="42"/>
      <c r="U99" s="43">
        <f>Q99+R99+S99+T99</f>
        <v>436464</v>
      </c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1"/>
      <c r="AG99" s="45"/>
      <c r="AH99" s="46" t="str">
        <f t="shared" si="52"/>
        <v>CAP. 6: MANO DE OBRA - DOMICILIARES DE ACUEDUCTO</v>
      </c>
      <c r="AI99" s="47">
        <f t="shared" si="53"/>
        <v>96</v>
      </c>
      <c r="AJ99" s="47"/>
      <c r="AK99" s="47"/>
      <c r="AL99" s="48"/>
      <c r="AM99" s="49"/>
      <c r="AN99" s="84"/>
      <c r="AP99" s="50">
        <f>E99</f>
        <v>10</v>
      </c>
      <c r="AQ99" s="51"/>
      <c r="AR99" s="52">
        <f t="shared" si="55"/>
        <v>10</v>
      </c>
      <c r="AS99" s="53">
        <f>F99</f>
        <v>43646</v>
      </c>
      <c r="AT99" s="54">
        <f t="shared" si="56"/>
        <v>436460</v>
      </c>
      <c r="AU99" s="84"/>
      <c r="AV99" s="85"/>
      <c r="AW99" s="412">
        <f t="shared" si="59"/>
        <v>58486</v>
      </c>
      <c r="AX99" s="412">
        <f t="shared" si="57"/>
        <v>-3</v>
      </c>
      <c r="AY99" s="419">
        <f t="shared" si="58"/>
        <v>584860</v>
      </c>
    </row>
    <row r="100" spans="1:51" x14ac:dyDescent="0.25">
      <c r="A100" s="27" t="s">
        <v>296</v>
      </c>
      <c r="B100" s="28" t="s">
        <v>297</v>
      </c>
      <c r="C100" s="29" t="s">
        <v>298</v>
      </c>
      <c r="D100" s="30" t="s">
        <v>90</v>
      </c>
      <c r="E100" s="143">
        <v>710</v>
      </c>
      <c r="F100" s="144">
        <v>24343</v>
      </c>
      <c r="G100" s="145">
        <f t="shared" si="54"/>
        <v>17283530</v>
      </c>
      <c r="H100" s="34">
        <f>'[3]APUS '!H2264</f>
        <v>24343</v>
      </c>
      <c r="I100" s="34">
        <f t="shared" si="51"/>
        <v>0</v>
      </c>
      <c r="J100" s="35">
        <f>'[3]APUS '!H2271</f>
        <v>32618</v>
      </c>
      <c r="K100" s="32">
        <v>1</v>
      </c>
      <c r="L100" s="32">
        <f>ROUNDUP(('[3]APUS '!$I$2223/8)/$K$100,0)</f>
        <v>18</v>
      </c>
      <c r="M100" s="36">
        <f>ROUND(J100 * E100,$K$2)</f>
        <v>23158780</v>
      </c>
      <c r="N100" s="37">
        <f>ROUND(H100 * E100,$K$2)</f>
        <v>17283530</v>
      </c>
      <c r="O100" s="38">
        <f>G100*$O$2</f>
        <v>17283530</v>
      </c>
      <c r="P100" s="39"/>
      <c r="Q100" s="40">
        <f>ROUND('[3]APUS '!H2259*E100,0)+ROUND('[3]APUS '!H2262*E100,0)</f>
        <v>503397</v>
      </c>
      <c r="R100" s="41">
        <f>ROUND('[3]APUS '!H2256*E100,0)</f>
        <v>128723</v>
      </c>
      <c r="S100" s="41">
        <f>ROUND('[3]APUS '!H2253*E100,0)</f>
        <v>1031204</v>
      </c>
      <c r="T100" s="42">
        <f>ROUND('[3]APUS '!H2250*E100,0)</f>
        <v>15620000</v>
      </c>
      <c r="U100" s="43">
        <f>Q100+R100+S100+T100</f>
        <v>17283324</v>
      </c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1"/>
      <c r="AG100" s="45"/>
      <c r="AH100" s="46" t="str">
        <f t="shared" si="52"/>
        <v>CAP. 6: MANO DE OBRA - DOMICILIARES DE ACUEDUCTO</v>
      </c>
      <c r="AI100" s="47">
        <f t="shared" si="53"/>
        <v>96</v>
      </c>
      <c r="AJ100" s="47"/>
      <c r="AK100" s="47"/>
      <c r="AL100" s="48"/>
      <c r="AM100" s="49"/>
      <c r="AN100" s="84"/>
      <c r="AP100" s="50">
        <f>E100</f>
        <v>710</v>
      </c>
      <c r="AQ100" s="51"/>
      <c r="AR100" s="52">
        <f t="shared" si="55"/>
        <v>710</v>
      </c>
      <c r="AS100" s="53">
        <f>F100</f>
        <v>24343</v>
      </c>
      <c r="AT100" s="54">
        <f t="shared" si="56"/>
        <v>17283530</v>
      </c>
      <c r="AU100" s="84"/>
      <c r="AV100" s="85"/>
      <c r="AW100" s="412">
        <f t="shared" si="59"/>
        <v>32620</v>
      </c>
      <c r="AX100" s="412">
        <f t="shared" si="57"/>
        <v>-2</v>
      </c>
      <c r="AY100" s="419">
        <f t="shared" si="58"/>
        <v>23160200</v>
      </c>
    </row>
    <row r="101" spans="1:51" ht="15.75" thickBot="1" x14ac:dyDescent="0.3">
      <c r="A101" s="146"/>
      <c r="B101" s="147"/>
      <c r="C101" s="29"/>
      <c r="D101" s="30"/>
      <c r="E101" s="148"/>
      <c r="F101" s="144"/>
      <c r="G101" s="33"/>
      <c r="H101" s="165"/>
      <c r="I101" s="34">
        <f t="shared" si="51"/>
        <v>0</v>
      </c>
      <c r="J101" s="32"/>
      <c r="K101" s="32"/>
      <c r="L101" s="32"/>
      <c r="M101" s="36"/>
      <c r="N101" s="37"/>
      <c r="O101" s="151"/>
      <c r="P101" s="39"/>
      <c r="Q101" s="40"/>
      <c r="R101" s="41"/>
      <c r="S101" s="41"/>
      <c r="T101" s="42"/>
      <c r="U101" s="43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1"/>
      <c r="AG101" s="45"/>
      <c r="AH101" s="46" t="str">
        <f t="shared" si="52"/>
        <v>CAP. 6: MANO DE OBRA - DOMICILIARES DE ACUEDUCTO</v>
      </c>
      <c r="AI101" s="47">
        <f t="shared" si="53"/>
        <v>96</v>
      </c>
      <c r="AJ101" s="47"/>
      <c r="AK101" s="47"/>
      <c r="AL101" s="48"/>
      <c r="AM101" s="49"/>
      <c r="AN101" s="84"/>
      <c r="AP101" s="50">
        <f>E101</f>
        <v>0</v>
      </c>
      <c r="AQ101" s="51"/>
      <c r="AR101" s="52">
        <f t="shared" si="55"/>
        <v>0</v>
      </c>
      <c r="AS101" s="53">
        <f>F101</f>
        <v>0</v>
      </c>
      <c r="AT101" s="54">
        <f t="shared" si="56"/>
        <v>0</v>
      </c>
      <c r="AU101" s="84"/>
      <c r="AV101" s="85"/>
      <c r="AW101" s="412"/>
      <c r="AX101" s="412"/>
    </row>
    <row r="102" spans="1:51" ht="15.75" thickBot="1" x14ac:dyDescent="0.3">
      <c r="A102" s="152" t="s">
        <v>105</v>
      </c>
      <c r="B102" s="153"/>
      <c r="C102" s="154"/>
      <c r="D102" s="155"/>
      <c r="E102" s="156"/>
      <c r="F102" s="157" t="s">
        <v>369</v>
      </c>
      <c r="G102" s="169">
        <f>SUM(G97:G101)</f>
        <v>38427590</v>
      </c>
      <c r="H102" s="165"/>
      <c r="I102" s="34" t="e">
        <f t="shared" si="51"/>
        <v>#VALUE!</v>
      </c>
      <c r="J102" s="32"/>
      <c r="K102" s="32"/>
      <c r="L102" s="32"/>
      <c r="M102" s="36"/>
      <c r="N102" s="37"/>
      <c r="O102" s="159">
        <f>SUM(O97:O101)</f>
        <v>38427590</v>
      </c>
      <c r="P102" s="39"/>
      <c r="Q102" s="160">
        <f>SUM(Q96:Q101)</f>
        <v>1156634</v>
      </c>
      <c r="R102" s="161">
        <f>SUM(R96:R101)</f>
        <v>258371</v>
      </c>
      <c r="S102" s="161">
        <f>SUM(S96:S101)</f>
        <v>21392259</v>
      </c>
      <c r="T102" s="162">
        <f>SUM(T96:T101)</f>
        <v>15620000</v>
      </c>
      <c r="U102" s="163">
        <f>SUM(U96:U101)</f>
        <v>38427264</v>
      </c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1"/>
      <c r="AG102" s="45"/>
      <c r="AH102" s="46" t="str">
        <f t="shared" si="52"/>
        <v>CAP. 6: MANO DE OBRA - DOMICILIARES DE ACUEDUCTO</v>
      </c>
      <c r="AI102" s="47">
        <f t="shared" si="53"/>
        <v>96</v>
      </c>
      <c r="AJ102" s="47"/>
      <c r="AK102" s="47"/>
      <c r="AL102" s="48"/>
      <c r="AM102" s="49"/>
      <c r="AN102" s="84"/>
      <c r="AP102" s="140"/>
      <c r="AQ102" s="141"/>
      <c r="AR102" s="141"/>
      <c r="AS102" s="141"/>
      <c r="AT102" s="142">
        <f>SUM(AT97:AT101)</f>
        <v>38427590</v>
      </c>
      <c r="AU102" s="84"/>
      <c r="AV102" s="85"/>
      <c r="AW102" s="412"/>
      <c r="AX102" s="412"/>
    </row>
    <row r="103" spans="1:51" ht="23.1" customHeight="1" thickBot="1" x14ac:dyDescent="0.3">
      <c r="A103" s="80"/>
      <c r="B103" s="122"/>
      <c r="C103" s="123"/>
      <c r="D103" s="124"/>
      <c r="E103" s="164"/>
      <c r="F103" s="126"/>
      <c r="G103" s="127"/>
      <c r="I103" s="34">
        <f t="shared" si="51"/>
        <v>0</v>
      </c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1"/>
      <c r="AG103" s="45"/>
      <c r="AH103" s="46"/>
      <c r="AI103" s="47"/>
      <c r="AJ103" s="47"/>
      <c r="AK103" s="47"/>
      <c r="AL103" s="48"/>
      <c r="AM103" s="49"/>
      <c r="AN103" s="84"/>
      <c r="AU103" s="84"/>
      <c r="AV103" s="85"/>
      <c r="AW103" s="412"/>
      <c r="AX103" s="412"/>
    </row>
    <row r="104" spans="1:51" x14ac:dyDescent="0.25">
      <c r="A104" s="128" t="s">
        <v>98</v>
      </c>
      <c r="B104" s="129">
        <v>7</v>
      </c>
      <c r="C104" s="130" t="s">
        <v>299</v>
      </c>
      <c r="D104" s="131"/>
      <c r="E104" s="132"/>
      <c r="F104" s="133"/>
      <c r="G104" s="134">
        <f>SUM(G105:G112)</f>
        <v>677820894</v>
      </c>
      <c r="H104" s="26"/>
      <c r="I104" s="34">
        <f t="shared" si="51"/>
        <v>0</v>
      </c>
      <c r="J104" s="26"/>
      <c r="K104" s="26"/>
      <c r="L104" s="26"/>
      <c r="M104" s="26"/>
      <c r="N104" s="26"/>
      <c r="O104" s="135">
        <f>SUM(O105:O111)</f>
        <v>671946943</v>
      </c>
      <c r="P104" s="44"/>
      <c r="Q104" s="136"/>
      <c r="R104" s="137"/>
      <c r="S104" s="137"/>
      <c r="T104" s="138"/>
      <c r="U104" s="139"/>
      <c r="V104" s="110">
        <f>IF(G104&lt;&gt;"",O104-G104*$O$2,0)</f>
        <v>-5873951</v>
      </c>
      <c r="W104" s="110" t="s">
        <v>100</v>
      </c>
      <c r="X104" s="110"/>
      <c r="Y104" s="110"/>
      <c r="Z104" s="110"/>
      <c r="AA104" s="110"/>
      <c r="AB104" s="110"/>
      <c r="AC104" s="110"/>
      <c r="AD104" s="110"/>
      <c r="AE104" s="110"/>
      <c r="AF104" s="111"/>
      <c r="AG104" s="45"/>
      <c r="AH104" s="46" t="str">
        <f>"CAP. " &amp; $B$104 &amp; ": " &amp; $C$104</f>
        <v>CAP. 7: CONCRETOS</v>
      </c>
      <c r="AI104" s="47">
        <f>ROW($B$104)</f>
        <v>104</v>
      </c>
      <c r="AJ104" s="47"/>
      <c r="AK104" s="47"/>
      <c r="AL104" s="48"/>
      <c r="AM104" s="49"/>
      <c r="AN104" s="84"/>
      <c r="AP104" s="140"/>
      <c r="AQ104" s="141"/>
      <c r="AR104" s="141"/>
      <c r="AS104" s="141"/>
      <c r="AT104" s="142">
        <f>SUM(AT105:AT111)</f>
        <v>672489439</v>
      </c>
      <c r="AU104" s="84"/>
      <c r="AV104" s="85"/>
      <c r="AW104" s="412"/>
      <c r="AX104" s="412"/>
    </row>
    <row r="105" spans="1:51" x14ac:dyDescent="0.25">
      <c r="A105" s="187" t="s">
        <v>300</v>
      </c>
      <c r="B105" s="188"/>
      <c r="C105" s="189"/>
      <c r="D105" s="190"/>
      <c r="E105" s="191"/>
      <c r="F105" s="192"/>
      <c r="G105" s="193"/>
      <c r="H105" s="194"/>
      <c r="I105" s="34">
        <f t="shared" si="51"/>
        <v>0</v>
      </c>
      <c r="J105" s="195"/>
      <c r="K105" s="195"/>
      <c r="L105" s="195"/>
      <c r="M105" s="196"/>
      <c r="N105" s="197"/>
      <c r="O105" s="198"/>
      <c r="P105" s="39"/>
      <c r="Q105" s="40"/>
      <c r="R105" s="41"/>
      <c r="S105" s="41"/>
      <c r="T105" s="42"/>
      <c r="U105" s="43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1"/>
      <c r="AG105" s="45"/>
      <c r="AH105" s="46" t="str">
        <f>"CAP. " &amp; $B$104 &amp; ": " &amp; $C$104</f>
        <v>CAP. 7: CONCRETOS</v>
      </c>
      <c r="AI105" s="47">
        <f>ROW($B$104)</f>
        <v>104</v>
      </c>
      <c r="AJ105" s="47"/>
      <c r="AK105" s="47"/>
      <c r="AL105" s="48"/>
      <c r="AM105" s="49"/>
      <c r="AN105" s="84"/>
      <c r="AP105" s="50">
        <f>E105</f>
        <v>0</v>
      </c>
      <c r="AQ105" s="51"/>
      <c r="AR105" s="52">
        <f>AP105+AQ105</f>
        <v>0</v>
      </c>
      <c r="AS105" s="53">
        <f>F105</f>
        <v>0</v>
      </c>
      <c r="AT105" s="54">
        <f>ROUND(AR105 * AS105,$K$2)</f>
        <v>0</v>
      </c>
      <c r="AU105" s="84"/>
      <c r="AV105" s="85"/>
      <c r="AW105" s="412"/>
      <c r="AX105" s="412"/>
    </row>
    <row r="106" spans="1:51" x14ac:dyDescent="0.25">
      <c r="A106" s="27" t="s">
        <v>301</v>
      </c>
      <c r="B106" s="28" t="s">
        <v>302</v>
      </c>
      <c r="C106" s="29" t="s">
        <v>303</v>
      </c>
      <c r="D106" s="30" t="s">
        <v>113</v>
      </c>
      <c r="E106" s="143">
        <v>4792</v>
      </c>
      <c r="F106" s="144">
        <v>129297</v>
      </c>
      <c r="G106" s="145">
        <f t="shared" ref="G106:G112" si="60">+ROUND(F106*E106,0)</f>
        <v>619591224</v>
      </c>
      <c r="H106" s="34">
        <f>'[3]APUS '!H2301</f>
        <v>129297</v>
      </c>
      <c r="I106" s="34">
        <f t="shared" si="51"/>
        <v>0</v>
      </c>
      <c r="J106" s="35">
        <f>'[3]APUS '!H2308</f>
        <v>173252</v>
      </c>
      <c r="K106" s="32">
        <v>1</v>
      </c>
      <c r="L106" s="32">
        <f>ROUNDUP(('[3]APUS '!$I$2226/8)/$K$106,0)</f>
        <v>9</v>
      </c>
      <c r="M106" s="36">
        <f>ROUND(J106 * E106,$K$2)</f>
        <v>830223584</v>
      </c>
      <c r="N106" s="37">
        <f>ROUND(H106 * E106,$K$2)</f>
        <v>619591224</v>
      </c>
      <c r="O106" s="38">
        <f>G106*$O$2</f>
        <v>619591224</v>
      </c>
      <c r="P106" s="39"/>
      <c r="Q106" s="40">
        <f>ROUND('[3]APUS '!H2296*E106,0)+ROUND('[3]APUS '!H2299*E106,0)</f>
        <v>4154664</v>
      </c>
      <c r="R106" s="41">
        <f>ROUND('[3]APUS '!H2293*E106,0)</f>
        <v>54441433</v>
      </c>
      <c r="S106" s="41">
        <f>ROUND('[3]APUS '!H2286*E106,0)</f>
        <v>116069428</v>
      </c>
      <c r="T106" s="42">
        <f>ROUND('[3]APUS '!H2283*E106,0)</f>
        <v>444927808</v>
      </c>
      <c r="U106" s="43">
        <f>Q106+R106+S106+T106</f>
        <v>619593333</v>
      </c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1"/>
      <c r="AG106" s="45"/>
      <c r="AH106" s="46" t="str">
        <f>"CAP. " &amp; $B$104 &amp; ": " &amp; $C$104</f>
        <v>CAP. 7: CONCRETOS</v>
      </c>
      <c r="AI106" s="47">
        <f>ROW($B$104)</f>
        <v>104</v>
      </c>
      <c r="AJ106" s="47"/>
      <c r="AK106" s="47"/>
      <c r="AL106" s="48"/>
      <c r="AM106" s="49"/>
      <c r="AN106" s="84"/>
      <c r="AP106" s="50">
        <f>E106</f>
        <v>4792</v>
      </c>
      <c r="AQ106" s="51"/>
      <c r="AR106" s="52">
        <f>AP106+AQ106</f>
        <v>4792</v>
      </c>
      <c r="AS106" s="53">
        <f>F106</f>
        <v>129297</v>
      </c>
      <c r="AT106" s="54">
        <f>ROUND(AR106 * AS106,$K$2)</f>
        <v>619591224</v>
      </c>
      <c r="AU106" s="84"/>
      <c r="AV106" s="85"/>
      <c r="AW106" s="412">
        <f t="shared" ref="AW106:AW112" si="61">ROUND(F106*1.34,0)</f>
        <v>173258</v>
      </c>
      <c r="AX106" s="412">
        <f t="shared" ref="AX106:AX112" si="62">+J106-AW106</f>
        <v>-6</v>
      </c>
      <c r="AY106" s="419">
        <f t="shared" ref="AY106:AY112" si="63">+ROUND(E106*AW106,0)</f>
        <v>830252336</v>
      </c>
    </row>
    <row r="107" spans="1:51" x14ac:dyDescent="0.25">
      <c r="A107" s="27" t="s">
        <v>304</v>
      </c>
      <c r="B107" s="28" t="s">
        <v>305</v>
      </c>
      <c r="C107" s="29" t="s">
        <v>306</v>
      </c>
      <c r="D107" s="30" t="s">
        <v>113</v>
      </c>
      <c r="E107" s="143">
        <v>923</v>
      </c>
      <c r="F107" s="144">
        <v>51386</v>
      </c>
      <c r="G107" s="145">
        <f t="shared" si="60"/>
        <v>47429278</v>
      </c>
      <c r="H107" s="34">
        <f>'[3]APUS '!H2333</f>
        <v>51386</v>
      </c>
      <c r="I107" s="34">
        <f t="shared" si="51"/>
        <v>0</v>
      </c>
      <c r="J107" s="35">
        <f>'[3]APUS '!H2340</f>
        <v>68855</v>
      </c>
      <c r="K107" s="32">
        <v>1</v>
      </c>
      <c r="L107" s="32">
        <f>ROUNDUP(('[3]APUS '!$I$2292/8)/$K$107,0)</f>
        <v>81</v>
      </c>
      <c r="M107" s="36">
        <f>ROUND(J107 * E107,$K$2)</f>
        <v>63553165</v>
      </c>
      <c r="N107" s="37">
        <f>ROUND(H107 * E107,$K$2)</f>
        <v>47429278</v>
      </c>
      <c r="O107" s="38">
        <f>G107*$O$2</f>
        <v>47429278</v>
      </c>
      <c r="P107" s="39"/>
      <c r="Q107" s="40">
        <f>ROUND('[3]APUS '!H2328*E107,0)+ROUND('[3]APUS '!H2331*E107,0)</f>
        <v>736462</v>
      </c>
      <c r="R107" s="41">
        <f>ROUND('[3]APUS '!H2325*E107,0)</f>
        <v>170755</v>
      </c>
      <c r="S107" s="41">
        <f>ROUND('[3]APUS '!H2322*E107,0)</f>
        <v>12531110</v>
      </c>
      <c r="T107" s="42">
        <f>ROUND('[3]APUS '!H2319*E107,0)</f>
        <v>33991044</v>
      </c>
      <c r="U107" s="43">
        <f>Q107+R107+S107+T107</f>
        <v>47429371</v>
      </c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1"/>
      <c r="AG107" s="45"/>
      <c r="AH107" s="46" t="str">
        <f>"CAP. " &amp; $B$104 &amp; ": " &amp; $C$104</f>
        <v>CAP. 7: CONCRETOS</v>
      </c>
      <c r="AI107" s="47">
        <f>ROW($B$104)</f>
        <v>104</v>
      </c>
      <c r="AJ107" s="47"/>
      <c r="AK107" s="47"/>
      <c r="AL107" s="48"/>
      <c r="AM107" s="49"/>
      <c r="AN107" s="84"/>
      <c r="AP107" s="50">
        <f>E107</f>
        <v>923</v>
      </c>
      <c r="AQ107" s="51"/>
      <c r="AR107" s="52">
        <f>AP107+AQ107</f>
        <v>923</v>
      </c>
      <c r="AS107" s="53">
        <f>F107</f>
        <v>51386</v>
      </c>
      <c r="AT107" s="54">
        <f>ROUND(AR107 * AS107,$K$2)</f>
        <v>47429278</v>
      </c>
      <c r="AU107" s="84"/>
      <c r="AV107" s="85"/>
      <c r="AW107" s="412">
        <f t="shared" si="61"/>
        <v>68857</v>
      </c>
      <c r="AX107" s="412">
        <f t="shared" si="62"/>
        <v>-2</v>
      </c>
      <c r="AY107" s="419">
        <f t="shared" si="63"/>
        <v>63555011</v>
      </c>
    </row>
    <row r="108" spans="1:51" x14ac:dyDescent="0.25">
      <c r="A108" s="27" t="s">
        <v>307</v>
      </c>
      <c r="B108" s="28" t="s">
        <v>308</v>
      </c>
      <c r="C108" s="29" t="s">
        <v>309</v>
      </c>
      <c r="D108" s="30" t="s">
        <v>125</v>
      </c>
      <c r="E108" s="143">
        <v>13</v>
      </c>
      <c r="F108" s="144">
        <v>378957</v>
      </c>
      <c r="G108" s="145">
        <f t="shared" si="60"/>
        <v>4926441</v>
      </c>
      <c r="H108" s="34">
        <f>'[3]APUS '!H2360</f>
        <v>378957</v>
      </c>
      <c r="I108" s="34">
        <f t="shared" si="51"/>
        <v>0</v>
      </c>
      <c r="J108" s="35">
        <f>'[3]APUS '!H2367</f>
        <v>507783</v>
      </c>
      <c r="K108" s="32">
        <v>1</v>
      </c>
      <c r="L108" s="32">
        <f>ROUNDUP(('[3]APUS '!$I$2322/8)/$K$108,0)</f>
        <v>2</v>
      </c>
      <c r="M108" s="36">
        <f>ROUND(J108 * E108,$K$2)</f>
        <v>6601179</v>
      </c>
      <c r="N108" s="37">
        <f>ROUND(H108 * E108,$K$2)</f>
        <v>4926441</v>
      </c>
      <c r="O108" s="38">
        <f>G108*$O$2</f>
        <v>4926441</v>
      </c>
      <c r="P108" s="39"/>
      <c r="Q108" s="40">
        <f>ROUND('[3]APUS '!H2328*E108,0)+ROUND('[3]APUS '!H2358*E108,0)</f>
        <v>7706</v>
      </c>
      <c r="R108" s="41">
        <f>ROUND('[3]APUS '!H2355*E108,0)</f>
        <v>3608</v>
      </c>
      <c r="S108" s="41">
        <f>ROUND('[3]APUS '!H2352*E108,0)</f>
        <v>252135</v>
      </c>
      <c r="T108" s="42">
        <f>ROUND('[3]APUS '!H2349*E108,0)</f>
        <v>4662996</v>
      </c>
      <c r="U108" s="43">
        <f>Q108+R108+S108+T108</f>
        <v>4926445</v>
      </c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1"/>
      <c r="AG108" s="45"/>
      <c r="AH108" s="46" t="str">
        <f>"CAP. " &amp; $B$104 &amp; ": " &amp; $C$104</f>
        <v>CAP. 7: CONCRETOS</v>
      </c>
      <c r="AI108" s="47">
        <f>ROW($B$104)</f>
        <v>104</v>
      </c>
      <c r="AJ108" s="47"/>
      <c r="AK108" s="47"/>
      <c r="AL108" s="48"/>
      <c r="AM108" s="49"/>
      <c r="AN108" s="84"/>
      <c r="AP108" s="50">
        <f>E108</f>
        <v>13</v>
      </c>
      <c r="AQ108" s="51"/>
      <c r="AR108" s="52">
        <f>AP108+AQ108</f>
        <v>13</v>
      </c>
      <c r="AS108" s="53">
        <f>F108</f>
        <v>378957</v>
      </c>
      <c r="AT108" s="54">
        <f>ROUND(AR108 * AS108,$K$2)</f>
        <v>4926441</v>
      </c>
      <c r="AU108" s="84"/>
      <c r="AV108" s="85"/>
      <c r="AW108" s="412">
        <f t="shared" si="61"/>
        <v>507802</v>
      </c>
      <c r="AX108" s="412">
        <f t="shared" si="62"/>
        <v>-19</v>
      </c>
      <c r="AY108" s="419">
        <f t="shared" si="63"/>
        <v>6601426</v>
      </c>
    </row>
    <row r="109" spans="1:51" x14ac:dyDescent="0.25">
      <c r="A109" s="167"/>
      <c r="B109" s="28" t="s">
        <v>310</v>
      </c>
      <c r="C109" s="29" t="str">
        <f>+'[3]APUS '!C2369</f>
        <v xml:space="preserve">PILOTE  EN CONCRETO 3100 PSI </v>
      </c>
      <c r="D109" s="30" t="s">
        <v>125</v>
      </c>
      <c r="E109" s="143">
        <v>3.0159360000000008</v>
      </c>
      <c r="F109" s="144">
        <v>596555</v>
      </c>
      <c r="G109" s="145">
        <f t="shared" si="60"/>
        <v>1799172</v>
      </c>
      <c r="H109" s="34"/>
      <c r="I109" s="34">
        <f t="shared" si="51"/>
        <v>596555</v>
      </c>
      <c r="J109" s="35"/>
      <c r="K109" s="32"/>
      <c r="L109" s="32"/>
      <c r="M109" s="36"/>
      <c r="N109" s="37"/>
      <c r="O109" s="168"/>
      <c r="P109" s="39"/>
      <c r="Q109" s="40"/>
      <c r="R109" s="41"/>
      <c r="S109" s="41"/>
      <c r="T109" s="42"/>
      <c r="U109" s="43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1"/>
      <c r="AG109" s="45"/>
      <c r="AH109" s="46"/>
      <c r="AI109" s="47"/>
      <c r="AJ109" s="47"/>
      <c r="AK109" s="47"/>
      <c r="AL109" s="48"/>
      <c r="AM109" s="49"/>
      <c r="AN109" s="84"/>
      <c r="AP109" s="50"/>
      <c r="AQ109" s="51"/>
      <c r="AR109" s="52"/>
      <c r="AS109" s="53"/>
      <c r="AT109" s="54"/>
      <c r="AU109" s="84"/>
      <c r="AV109" s="85"/>
      <c r="AW109" s="412">
        <f t="shared" si="61"/>
        <v>799384</v>
      </c>
      <c r="AX109" s="412">
        <f t="shared" si="62"/>
        <v>-799384</v>
      </c>
      <c r="AY109" s="419">
        <f t="shared" si="63"/>
        <v>2410891</v>
      </c>
    </row>
    <row r="110" spans="1:51" x14ac:dyDescent="0.25">
      <c r="A110" s="167"/>
      <c r="B110" s="28" t="s">
        <v>311</v>
      </c>
      <c r="C110" s="29" t="str">
        <f>+'[3]APUS '!C2396</f>
        <v>PEDESTAL  EN CONCRETO 3100 PSI INC FOTMALETA</v>
      </c>
      <c r="D110" s="30" t="s">
        <v>125</v>
      </c>
      <c r="E110" s="143">
        <v>1.4629999999999999</v>
      </c>
      <c r="F110" s="144">
        <v>688017</v>
      </c>
      <c r="G110" s="145">
        <f t="shared" si="60"/>
        <v>1006569</v>
      </c>
      <c r="H110" s="34"/>
      <c r="I110" s="34">
        <f t="shared" si="51"/>
        <v>688017</v>
      </c>
      <c r="J110" s="35"/>
      <c r="K110" s="32"/>
      <c r="L110" s="32"/>
      <c r="M110" s="36"/>
      <c r="N110" s="37"/>
      <c r="O110" s="168"/>
      <c r="P110" s="39"/>
      <c r="Q110" s="40"/>
      <c r="R110" s="41"/>
      <c r="S110" s="41"/>
      <c r="T110" s="42"/>
      <c r="U110" s="43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1"/>
      <c r="AG110" s="45"/>
      <c r="AH110" s="46"/>
      <c r="AI110" s="47"/>
      <c r="AJ110" s="47"/>
      <c r="AK110" s="47"/>
      <c r="AL110" s="48"/>
      <c r="AM110" s="49"/>
      <c r="AN110" s="84"/>
      <c r="AP110" s="50"/>
      <c r="AQ110" s="51"/>
      <c r="AR110" s="52"/>
      <c r="AS110" s="53"/>
      <c r="AT110" s="54"/>
      <c r="AU110" s="84"/>
      <c r="AV110" s="85"/>
      <c r="AW110" s="412">
        <f t="shared" si="61"/>
        <v>921943</v>
      </c>
      <c r="AX110" s="412">
        <f t="shared" si="62"/>
        <v>-921943</v>
      </c>
      <c r="AY110" s="419">
        <f t="shared" si="63"/>
        <v>1348803</v>
      </c>
    </row>
    <row r="111" spans="1:51" x14ac:dyDescent="0.25">
      <c r="A111" s="146"/>
      <c r="B111" s="147">
        <v>7.6</v>
      </c>
      <c r="C111" s="29" t="s">
        <v>312</v>
      </c>
      <c r="D111" s="30" t="s">
        <v>313</v>
      </c>
      <c r="E111" s="143">
        <v>24</v>
      </c>
      <c r="F111" s="144">
        <v>22604</v>
      </c>
      <c r="G111" s="145">
        <f t="shared" si="60"/>
        <v>542496</v>
      </c>
      <c r="H111" s="165"/>
      <c r="I111" s="34">
        <f t="shared" si="51"/>
        <v>22604</v>
      </c>
      <c r="J111" s="32"/>
      <c r="K111" s="32"/>
      <c r="L111" s="32"/>
      <c r="M111" s="36"/>
      <c r="N111" s="37"/>
      <c r="O111" s="151"/>
      <c r="P111" s="39"/>
      <c r="Q111" s="40"/>
      <c r="R111" s="41"/>
      <c r="S111" s="41"/>
      <c r="T111" s="42"/>
      <c r="U111" s="43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1"/>
      <c r="AG111" s="45"/>
      <c r="AH111" s="46" t="str">
        <f>"CAP. " &amp; $B$104 &amp; ": " &amp; $C$104</f>
        <v>CAP. 7: CONCRETOS</v>
      </c>
      <c r="AI111" s="47">
        <f>ROW($B$104)</f>
        <v>104</v>
      </c>
      <c r="AJ111" s="47"/>
      <c r="AK111" s="47"/>
      <c r="AL111" s="48"/>
      <c r="AM111" s="49"/>
      <c r="AN111" s="84"/>
      <c r="AP111" s="50">
        <f>E111</f>
        <v>24</v>
      </c>
      <c r="AQ111" s="51"/>
      <c r="AR111" s="52">
        <f>AP111+AQ111</f>
        <v>24</v>
      </c>
      <c r="AS111" s="53">
        <f>F111</f>
        <v>22604</v>
      </c>
      <c r="AT111" s="54">
        <f>ROUND(AR111 * AS111,$K$2)</f>
        <v>542496</v>
      </c>
      <c r="AU111" s="84"/>
      <c r="AV111" s="85"/>
      <c r="AW111" s="412">
        <f t="shared" si="61"/>
        <v>30289</v>
      </c>
      <c r="AX111" s="412">
        <f t="shared" si="62"/>
        <v>-30289</v>
      </c>
      <c r="AY111" s="419">
        <f t="shared" si="63"/>
        <v>726936</v>
      </c>
    </row>
    <row r="112" spans="1:51" ht="15.75" thickBot="1" x14ac:dyDescent="0.3">
      <c r="A112" s="199"/>
      <c r="B112" s="147">
        <v>7.7</v>
      </c>
      <c r="C112" s="29" t="s">
        <v>314</v>
      </c>
      <c r="D112" s="30" t="s">
        <v>315</v>
      </c>
      <c r="E112" s="148">
        <v>512.003648</v>
      </c>
      <c r="F112" s="144">
        <v>4933</v>
      </c>
      <c r="G112" s="145">
        <f t="shared" si="60"/>
        <v>2525714</v>
      </c>
      <c r="H112" s="165"/>
      <c r="I112" s="34">
        <f t="shared" si="51"/>
        <v>4933</v>
      </c>
      <c r="J112" s="32"/>
      <c r="K112" s="32"/>
      <c r="L112" s="32"/>
      <c r="M112" s="36"/>
      <c r="N112" s="37"/>
      <c r="O112" s="200"/>
      <c r="P112" s="39"/>
      <c r="Q112" s="201"/>
      <c r="R112" s="202"/>
      <c r="S112" s="202"/>
      <c r="T112" s="203"/>
      <c r="U112" s="204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1"/>
      <c r="AG112" s="45"/>
      <c r="AH112" s="46"/>
      <c r="AI112" s="47"/>
      <c r="AJ112" s="47"/>
      <c r="AK112" s="47"/>
      <c r="AL112" s="48"/>
      <c r="AM112" s="49"/>
      <c r="AN112" s="84"/>
      <c r="AP112" s="205"/>
      <c r="AQ112" s="206"/>
      <c r="AR112" s="207"/>
      <c r="AS112" s="208"/>
      <c r="AT112" s="209"/>
      <c r="AU112" s="84"/>
      <c r="AV112" s="85"/>
      <c r="AW112" s="412">
        <f t="shared" si="61"/>
        <v>6610</v>
      </c>
      <c r="AX112" s="412">
        <f t="shared" si="62"/>
        <v>-6610</v>
      </c>
      <c r="AY112" s="419">
        <f t="shared" si="63"/>
        <v>3384344</v>
      </c>
    </row>
    <row r="113" spans="1:51" ht="15.75" thickBot="1" x14ac:dyDescent="0.3">
      <c r="A113" s="152" t="s">
        <v>105</v>
      </c>
      <c r="B113" s="153"/>
      <c r="C113" s="154"/>
      <c r="D113" s="155"/>
      <c r="E113" s="156"/>
      <c r="F113" s="157" t="s">
        <v>370</v>
      </c>
      <c r="G113" s="169">
        <f>SUM(G105:G112)</f>
        <v>677820894</v>
      </c>
      <c r="H113" s="165"/>
      <c r="I113" s="34" t="e">
        <f t="shared" si="51"/>
        <v>#VALUE!</v>
      </c>
      <c r="J113" s="32"/>
      <c r="K113" s="32"/>
      <c r="L113" s="32"/>
      <c r="M113" s="36"/>
      <c r="N113" s="37"/>
      <c r="O113" s="159">
        <f>SUM(O105:O111)</f>
        <v>671946943</v>
      </c>
      <c r="P113" s="39"/>
      <c r="Q113" s="160">
        <f>SUM(Q104:Q111)</f>
        <v>4898832</v>
      </c>
      <c r="R113" s="161">
        <f>SUM(R104:R111)</f>
        <v>54615796</v>
      </c>
      <c r="S113" s="161">
        <f>SUM(S104:S111)</f>
        <v>128852673</v>
      </c>
      <c r="T113" s="162">
        <f>SUM(T104:T111)</f>
        <v>483581848</v>
      </c>
      <c r="U113" s="163">
        <f>SUM(U104:U111)</f>
        <v>671949149</v>
      </c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1"/>
      <c r="AG113" s="45"/>
      <c r="AH113" s="46" t="str">
        <f>"CAP. " &amp; $B$104 &amp; ": " &amp; $C$104</f>
        <v>CAP. 7: CONCRETOS</v>
      </c>
      <c r="AI113" s="47">
        <f>ROW($B$104)</f>
        <v>104</v>
      </c>
      <c r="AJ113" s="47"/>
      <c r="AK113" s="47"/>
      <c r="AL113" s="48"/>
      <c r="AM113" s="49"/>
      <c r="AN113" s="84"/>
      <c r="AP113" s="140"/>
      <c r="AQ113" s="141"/>
      <c r="AR113" s="141"/>
      <c r="AS113" s="141"/>
      <c r="AT113" s="142">
        <f>SUM(AT105:AT111)</f>
        <v>672489439</v>
      </c>
      <c r="AU113" s="84"/>
      <c r="AV113" s="85"/>
      <c r="AW113" s="412"/>
      <c r="AX113" s="412"/>
    </row>
    <row r="114" spans="1:51" ht="23.1" customHeight="1" thickBot="1" x14ac:dyDescent="0.3">
      <c r="A114" s="80"/>
      <c r="B114" s="122"/>
      <c r="C114" s="123"/>
      <c r="D114" s="124"/>
      <c r="E114" s="164"/>
      <c r="F114" s="126"/>
      <c r="G114" s="127"/>
      <c r="I114" s="34">
        <f t="shared" si="51"/>
        <v>0</v>
      </c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1"/>
      <c r="AG114" s="45"/>
      <c r="AH114" s="46"/>
      <c r="AI114" s="47"/>
      <c r="AJ114" s="47"/>
      <c r="AK114" s="47"/>
      <c r="AL114" s="48"/>
      <c r="AM114" s="49"/>
      <c r="AN114" s="84"/>
      <c r="AU114" s="84"/>
      <c r="AV114" s="85"/>
      <c r="AW114" s="412"/>
      <c r="AX114" s="412"/>
    </row>
    <row r="115" spans="1:51" x14ac:dyDescent="0.25">
      <c r="A115" s="128" t="s">
        <v>98</v>
      </c>
      <c r="B115" s="129">
        <v>8</v>
      </c>
      <c r="C115" s="130" t="s">
        <v>316</v>
      </c>
      <c r="D115" s="131"/>
      <c r="E115" s="132"/>
      <c r="F115" s="133"/>
      <c r="G115" s="134">
        <f>SUM(G116:G116)</f>
        <v>19226907</v>
      </c>
      <c r="H115" s="26"/>
      <c r="I115" s="34">
        <f t="shared" si="51"/>
        <v>0</v>
      </c>
      <c r="J115" s="26"/>
      <c r="K115" s="26"/>
      <c r="L115" s="26"/>
      <c r="M115" s="26"/>
      <c r="N115" s="26"/>
      <c r="O115" s="135">
        <f>SUM(O116:O116)</f>
        <v>19226907</v>
      </c>
      <c r="P115" s="44"/>
      <c r="Q115" s="136"/>
      <c r="R115" s="137"/>
      <c r="S115" s="137"/>
      <c r="T115" s="138"/>
      <c r="U115" s="139"/>
      <c r="V115" s="110">
        <f>IF(G115&lt;&gt;"",O115-G115*$O$2,0)</f>
        <v>0</v>
      </c>
      <c r="W115" s="110" t="s">
        <v>100</v>
      </c>
      <c r="X115" s="110"/>
      <c r="Y115" s="110"/>
      <c r="Z115" s="110"/>
      <c r="AA115" s="110"/>
      <c r="AB115" s="110"/>
      <c r="AC115" s="110"/>
      <c r="AD115" s="110"/>
      <c r="AE115" s="110"/>
      <c r="AF115" s="111"/>
      <c r="AG115" s="45"/>
      <c r="AH115" s="46" t="str">
        <f>"CAP. " &amp; $B$115 &amp; ": " &amp; $C$115</f>
        <v>CAP. 8: LINEA DE CONDUCCION</v>
      </c>
      <c r="AI115" s="47">
        <f>ROW($B$115)</f>
        <v>115</v>
      </c>
      <c r="AJ115" s="47"/>
      <c r="AK115" s="47"/>
      <c r="AL115" s="48"/>
      <c r="AM115" s="49"/>
      <c r="AN115" s="84"/>
      <c r="AP115" s="140"/>
      <c r="AQ115" s="141"/>
      <c r="AR115" s="141"/>
      <c r="AS115" s="141"/>
      <c r="AT115" s="142">
        <f>SUM(AT116:AT116)</f>
        <v>19226907</v>
      </c>
      <c r="AU115" s="84"/>
      <c r="AV115" s="85"/>
      <c r="AW115" s="412"/>
      <c r="AX115" s="412"/>
    </row>
    <row r="116" spans="1:51" ht="26.25" thickBot="1" x14ac:dyDescent="0.3">
      <c r="A116" s="27" t="s">
        <v>317</v>
      </c>
      <c r="B116" s="28" t="s">
        <v>318</v>
      </c>
      <c r="C116" s="29" t="s">
        <v>319</v>
      </c>
      <c r="D116" s="30" t="s">
        <v>320</v>
      </c>
      <c r="E116" s="143">
        <v>883.54888398000003</v>
      </c>
      <c r="F116" s="144">
        <v>21761</v>
      </c>
      <c r="G116" s="145">
        <f>+ROUND(F116*E116,0)</f>
        <v>19226907</v>
      </c>
      <c r="H116" s="34">
        <f>'[3]APUS '!H2573</f>
        <v>21761</v>
      </c>
      <c r="I116" s="34">
        <f t="shared" si="51"/>
        <v>0</v>
      </c>
      <c r="J116" s="35">
        <f>'[3]APUS '!H2580</f>
        <v>29159</v>
      </c>
      <c r="K116" s="32">
        <v>1</v>
      </c>
      <c r="L116" s="32">
        <f>ROUNDUP(('[3]APUS '!$I$2529/8)/$K$116,0)</f>
        <v>10</v>
      </c>
      <c r="M116" s="36">
        <f>ROUND(J116 * E116,$K$2)</f>
        <v>25763402</v>
      </c>
      <c r="N116" s="37">
        <f>ROUND(H116 * E116,$K$2)</f>
        <v>19226907</v>
      </c>
      <c r="O116" s="38">
        <f>G116*$O$2</f>
        <v>19226907</v>
      </c>
      <c r="P116" s="39"/>
      <c r="Q116" s="40"/>
      <c r="R116" s="41">
        <f>ROUND('[3]APUS '!H2571*E116,0)</f>
        <v>3391591</v>
      </c>
      <c r="S116" s="41">
        <f>ROUND('[3]APUS '!H2560*E116,0)</f>
        <v>5299332</v>
      </c>
      <c r="T116" s="42">
        <f>ROUND('[3]APUS '!H2556*E116,0)</f>
        <v>10536126</v>
      </c>
      <c r="U116" s="43">
        <f>Q116+R116+S116+T116</f>
        <v>19227049</v>
      </c>
      <c r="V116" s="44"/>
      <c r="W116" s="26"/>
      <c r="AG116" s="45"/>
      <c r="AH116" s="46" t="str">
        <f>"CAP. " &amp; $B$115 &amp; ": " &amp; $C$115</f>
        <v>CAP. 8: LINEA DE CONDUCCION</v>
      </c>
      <c r="AI116" s="47">
        <f>ROW($B$115)</f>
        <v>115</v>
      </c>
      <c r="AJ116" s="47"/>
      <c r="AK116" s="47"/>
      <c r="AL116" s="48"/>
      <c r="AM116" s="49"/>
      <c r="AP116" s="50">
        <f>E116</f>
        <v>883.54888398000003</v>
      </c>
      <c r="AQ116" s="51"/>
      <c r="AR116" s="52">
        <f>AP116+AQ116</f>
        <v>883.54888398000003</v>
      </c>
      <c r="AS116" s="53">
        <f>F116</f>
        <v>21761</v>
      </c>
      <c r="AT116" s="54">
        <f>ROUND(AR116 * AS116,$K$2)</f>
        <v>19226907</v>
      </c>
      <c r="AU116" s="55"/>
      <c r="AV116" s="56"/>
      <c r="AW116" s="412">
        <f t="shared" ref="AW116" si="64">ROUND(F116*1.34,0)</f>
        <v>29160</v>
      </c>
      <c r="AX116" s="412">
        <f>+J116-AW116</f>
        <v>-1</v>
      </c>
      <c r="AY116" s="419">
        <f>+ROUND(E116*AW116,0)</f>
        <v>25764285</v>
      </c>
    </row>
    <row r="117" spans="1:51" ht="15.75" thickBot="1" x14ac:dyDescent="0.3">
      <c r="A117" s="152" t="s">
        <v>105</v>
      </c>
      <c r="B117" s="153"/>
      <c r="C117" s="154"/>
      <c r="D117" s="155"/>
      <c r="E117" s="156"/>
      <c r="F117" s="157" t="s">
        <v>371</v>
      </c>
      <c r="G117" s="169">
        <f>SUM(G116:G116)</f>
        <v>19226907</v>
      </c>
      <c r="H117" s="165"/>
      <c r="I117" s="165"/>
      <c r="J117" s="32"/>
      <c r="K117" s="32"/>
      <c r="L117" s="32"/>
      <c r="M117" s="36"/>
      <c r="N117" s="37"/>
      <c r="O117" s="159">
        <f>SUM(O116:O116)</f>
        <v>19226907</v>
      </c>
      <c r="P117" s="39"/>
      <c r="Q117" s="160">
        <f>SUM(Q115:Q116)</f>
        <v>0</v>
      </c>
      <c r="R117" s="161">
        <f>SUM(R115:R116)</f>
        <v>3391591</v>
      </c>
      <c r="S117" s="161">
        <f>SUM(S115:S116)</f>
        <v>5299332</v>
      </c>
      <c r="T117" s="162">
        <f>SUM(T115:T116)</f>
        <v>10536126</v>
      </c>
      <c r="U117" s="163">
        <f>SUM(U115:U116)</f>
        <v>19227049</v>
      </c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45"/>
      <c r="AH117" s="46" t="str">
        <f>"CAP. " &amp; $B$115 &amp; ": " &amp; $C$115</f>
        <v>CAP. 8: LINEA DE CONDUCCION</v>
      </c>
      <c r="AI117" s="47">
        <f>ROW($B$115)</f>
        <v>115</v>
      </c>
      <c r="AJ117" s="47"/>
      <c r="AK117" s="47"/>
      <c r="AL117" s="48"/>
      <c r="AM117" s="49"/>
      <c r="AN117" s="84"/>
      <c r="AP117" s="140"/>
      <c r="AQ117" s="141"/>
      <c r="AR117" s="141"/>
      <c r="AS117" s="141"/>
      <c r="AT117" s="142">
        <f>SUM(AT116:AT116)</f>
        <v>19226907</v>
      </c>
      <c r="AU117" s="84"/>
      <c r="AV117" s="85"/>
      <c r="AW117" s="412"/>
      <c r="AX117" s="412"/>
    </row>
    <row r="118" spans="1:51" x14ac:dyDescent="0.25">
      <c r="A118" s="80"/>
      <c r="B118" s="122"/>
      <c r="C118" s="123"/>
      <c r="D118" s="124"/>
      <c r="E118" s="164"/>
      <c r="F118" s="126"/>
      <c r="G118" s="127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1"/>
      <c r="AG118" s="45"/>
      <c r="AH118" s="46"/>
      <c r="AI118" s="47"/>
      <c r="AJ118" s="47"/>
      <c r="AK118" s="47"/>
      <c r="AL118" s="48"/>
      <c r="AM118" s="49"/>
      <c r="AN118" s="84"/>
      <c r="AU118" s="84"/>
      <c r="AV118" s="85"/>
      <c r="AW118" s="412"/>
      <c r="AX118" s="412"/>
    </row>
    <row r="119" spans="1:51" s="84" customFormat="1" x14ac:dyDescent="0.25">
      <c r="A119" s="210"/>
      <c r="B119" s="122"/>
      <c r="C119" s="211"/>
      <c r="D119" s="124"/>
      <c r="E119" s="164"/>
      <c r="F119" s="126"/>
      <c r="G119" s="212"/>
      <c r="H119" s="213"/>
      <c r="I119" s="213"/>
      <c r="J119" s="213"/>
      <c r="K119" s="213"/>
      <c r="L119" s="213"/>
      <c r="M119" s="213"/>
      <c r="N119" s="213"/>
      <c r="O119"/>
      <c r="P119"/>
      <c r="Q119"/>
      <c r="R119"/>
      <c r="S119"/>
      <c r="T119"/>
      <c r="U119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1"/>
      <c r="AG119" s="45"/>
      <c r="AH119" s="46"/>
      <c r="AI119" s="47"/>
      <c r="AJ119" s="47"/>
      <c r="AK119" s="47"/>
      <c r="AL119" s="48"/>
      <c r="AM119" s="49"/>
      <c r="AO119"/>
      <c r="AV119" s="85"/>
      <c r="AW119" s="412"/>
      <c r="AX119" s="412"/>
      <c r="AY119" s="418"/>
    </row>
    <row r="120" spans="1:51" s="229" customFormat="1" ht="15.75" thickBot="1" x14ac:dyDescent="0.3">
      <c r="A120" s="214" t="s">
        <v>321</v>
      </c>
      <c r="B120" s="215"/>
      <c r="C120" s="216"/>
      <c r="D120" s="217"/>
      <c r="E120" s="218"/>
      <c r="F120" s="219" t="s">
        <v>335</v>
      </c>
      <c r="G120" s="220">
        <f>+ROUND(G117+G113+G102+G94+G49+G39+G25+G17,0)</f>
        <v>1782755745</v>
      </c>
      <c r="H120" s="221"/>
      <c r="I120" s="415"/>
      <c r="J120" s="222"/>
      <c r="K120" s="222"/>
      <c r="L120" s="222"/>
      <c r="M120" s="223" t="e">
        <f>SUM(M12:M118)</f>
        <v>#REF!</v>
      </c>
      <c r="N120" s="224" t="e">
        <f>SUM(N12:N118)</f>
        <v>#REF!</v>
      </c>
      <c r="O120" s="225">
        <f>+G120*$O$2</f>
        <v>1782755745</v>
      </c>
      <c r="P120" s="226"/>
      <c r="Q120" s="227" t="e">
        <f>SUM(Q12:Q118)/2</f>
        <v>#REF!</v>
      </c>
      <c r="R120" s="228" t="e">
        <f>SUM(R12:R118)/2</f>
        <v>#REF!</v>
      </c>
      <c r="S120" s="228" t="e">
        <f>SUM(S12:S118)/2</f>
        <v>#REF!</v>
      </c>
      <c r="T120" s="228" t="e">
        <f>SUM(T12:T118)/2</f>
        <v>#REF!</v>
      </c>
      <c r="U120" s="228" t="e">
        <f>SUM(U12:U118)/2</f>
        <v>#REF!</v>
      </c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1"/>
      <c r="AG120" s="45"/>
      <c r="AH120" s="46"/>
      <c r="AI120" s="47"/>
      <c r="AJ120" s="47"/>
      <c r="AK120" s="47"/>
      <c r="AL120" s="48"/>
      <c r="AM120" s="49"/>
      <c r="AN120" s="84"/>
      <c r="AP120" s="230"/>
      <c r="AQ120" s="231"/>
      <c r="AR120" s="231"/>
      <c r="AS120" s="232" t="str">
        <f>F120</f>
        <v>VALOR COSTOS DIRECTOS</v>
      </c>
      <c r="AT120" s="233">
        <f>SUM(AT12:AT119)/3</f>
        <v>1742374981</v>
      </c>
      <c r="AU120" s="84"/>
      <c r="AV120" s="85"/>
      <c r="AW120" s="412"/>
      <c r="AX120" s="412"/>
      <c r="AY120" s="420"/>
    </row>
    <row r="121" spans="1:51" s="229" customFormat="1" ht="15.75" thickBot="1" x14ac:dyDescent="0.3">
      <c r="A121" s="214"/>
      <c r="B121" s="215"/>
      <c r="C121" s="234"/>
      <c r="D121" s="234"/>
      <c r="E121" s="235"/>
      <c r="F121" s="236"/>
      <c r="G121" s="237"/>
      <c r="H121" s="238"/>
      <c r="I121" s="238"/>
      <c r="J121" s="238"/>
      <c r="K121" s="238"/>
      <c r="L121" s="238"/>
      <c r="M121" s="239"/>
      <c r="N121" s="239"/>
      <c r="O121" s="240"/>
      <c r="P121" s="226"/>
      <c r="Q121" s="241"/>
      <c r="R121" s="241"/>
      <c r="S121" s="241"/>
      <c r="T121" s="241"/>
      <c r="U121" s="241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1"/>
      <c r="AG121" s="45"/>
      <c r="AH121" s="46"/>
      <c r="AI121" s="47"/>
      <c r="AJ121" s="47"/>
      <c r="AK121" s="47"/>
      <c r="AL121" s="48"/>
      <c r="AM121" s="49"/>
      <c r="AN121" s="84"/>
      <c r="AP121" s="242"/>
      <c r="AQ121" s="242"/>
      <c r="AR121" s="242"/>
      <c r="AS121" s="243"/>
      <c r="AT121" s="244"/>
      <c r="AU121" s="84"/>
      <c r="AV121" s="85"/>
      <c r="AW121" s="412"/>
      <c r="AX121" s="412"/>
      <c r="AY121" s="420"/>
    </row>
    <row r="122" spans="1:51" s="229" customFormat="1" x14ac:dyDescent="0.25">
      <c r="A122" s="214"/>
      <c r="B122" s="129">
        <v>1</v>
      </c>
      <c r="C122" s="130" t="s">
        <v>322</v>
      </c>
      <c r="D122" s="131"/>
      <c r="E122" s="132"/>
      <c r="F122" s="133"/>
      <c r="G122" s="245">
        <f>+G127</f>
        <v>328103240</v>
      </c>
      <c r="H122" s="238"/>
      <c r="I122" s="238"/>
      <c r="J122" s="238"/>
      <c r="K122" s="238"/>
      <c r="L122" s="238"/>
      <c r="M122" s="239"/>
      <c r="N122" s="239"/>
      <c r="O122" s="240"/>
      <c r="P122" s="226"/>
      <c r="Q122" s="241"/>
      <c r="R122" s="241"/>
      <c r="S122" s="241"/>
      <c r="T122" s="241"/>
      <c r="U122" s="241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1"/>
      <c r="AG122" s="45"/>
      <c r="AH122" s="46"/>
      <c r="AI122" s="47"/>
      <c r="AJ122" s="47"/>
      <c r="AK122" s="47"/>
      <c r="AL122" s="48"/>
      <c r="AM122" s="49"/>
      <c r="AN122" s="84"/>
      <c r="AP122" s="242"/>
      <c r="AQ122" s="242"/>
      <c r="AR122" s="242"/>
      <c r="AS122" s="243"/>
      <c r="AT122" s="244"/>
      <c r="AU122" s="84"/>
      <c r="AV122" s="85"/>
      <c r="AW122" s="412"/>
      <c r="AX122" s="412"/>
      <c r="AY122" s="420"/>
    </row>
    <row r="123" spans="1:51" s="229" customFormat="1" x14ac:dyDescent="0.25">
      <c r="A123" s="214"/>
      <c r="B123" s="28" t="s">
        <v>102</v>
      </c>
      <c r="C123" s="29" t="s">
        <v>323</v>
      </c>
      <c r="D123" s="30" t="s">
        <v>104</v>
      </c>
      <c r="E123" s="143">
        <v>246</v>
      </c>
      <c r="F123" s="144">
        <v>129852</v>
      </c>
      <c r="G123" s="145">
        <f t="shared" ref="G123:G126" si="65">+ROUND(F123*E123,0)</f>
        <v>31943592</v>
      </c>
      <c r="H123" s="238"/>
      <c r="I123" s="238"/>
      <c r="J123" s="238"/>
      <c r="K123" s="238"/>
      <c r="L123" s="238"/>
      <c r="M123" s="239"/>
      <c r="N123" s="239"/>
      <c r="O123" s="240"/>
      <c r="P123" s="226"/>
      <c r="Q123" s="241"/>
      <c r="R123" s="241"/>
      <c r="S123" s="241"/>
      <c r="T123" s="241"/>
      <c r="U123" s="241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1"/>
      <c r="AG123" s="45"/>
      <c r="AH123" s="46"/>
      <c r="AI123" s="47"/>
      <c r="AJ123" s="47"/>
      <c r="AK123" s="47"/>
      <c r="AL123" s="48"/>
      <c r="AM123" s="49"/>
      <c r="AN123" s="84"/>
      <c r="AP123" s="242"/>
      <c r="AQ123" s="242"/>
      <c r="AR123" s="242"/>
      <c r="AS123" s="243"/>
      <c r="AT123" s="244"/>
      <c r="AU123" s="84"/>
      <c r="AV123" s="85"/>
      <c r="AW123" s="412">
        <f>ROUND(F123*1.19,0)</f>
        <v>154524</v>
      </c>
      <c r="AX123" s="412"/>
      <c r="AY123" s="419">
        <f t="shared" ref="AY123:AY126" si="66">+ROUND(E123*AW123,0)</f>
        <v>38012904</v>
      </c>
    </row>
    <row r="124" spans="1:51" s="229" customFormat="1" x14ac:dyDescent="0.25">
      <c r="A124" s="214"/>
      <c r="B124" s="28" t="s">
        <v>324</v>
      </c>
      <c r="C124" s="29" t="s">
        <v>325</v>
      </c>
      <c r="D124" s="30" t="s">
        <v>104</v>
      </c>
      <c r="E124" s="143">
        <v>2800</v>
      </c>
      <c r="F124" s="144">
        <v>76660</v>
      </c>
      <c r="G124" s="145">
        <f t="shared" si="65"/>
        <v>214648000</v>
      </c>
      <c r="H124" s="238"/>
      <c r="I124" s="238"/>
      <c r="J124" s="238"/>
      <c r="K124" s="238"/>
      <c r="L124" s="238"/>
      <c r="M124" s="239"/>
      <c r="N124" s="239"/>
      <c r="O124" s="240"/>
      <c r="P124" s="226"/>
      <c r="Q124" s="241"/>
      <c r="R124" s="241"/>
      <c r="S124" s="241"/>
      <c r="T124" s="241"/>
      <c r="U124" s="241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1"/>
      <c r="AG124" s="45"/>
      <c r="AH124" s="46"/>
      <c r="AI124" s="47"/>
      <c r="AJ124" s="47"/>
      <c r="AK124" s="47"/>
      <c r="AL124" s="48"/>
      <c r="AM124" s="49"/>
      <c r="AN124" s="84"/>
      <c r="AP124" s="242"/>
      <c r="AQ124" s="242"/>
      <c r="AR124" s="242"/>
      <c r="AS124" s="243"/>
      <c r="AT124" s="244"/>
      <c r="AU124" s="84"/>
      <c r="AV124" s="85"/>
      <c r="AW124" s="412">
        <f t="shared" ref="AW124:AW126" si="67">ROUND(F124*1.19,0)</f>
        <v>91225</v>
      </c>
      <c r="AX124" s="412"/>
      <c r="AY124" s="419">
        <f t="shared" si="66"/>
        <v>255430000</v>
      </c>
    </row>
    <row r="125" spans="1:51" s="229" customFormat="1" x14ac:dyDescent="0.25">
      <c r="A125" s="214"/>
      <c r="B125" s="28" t="s">
        <v>326</v>
      </c>
      <c r="C125" s="29" t="s">
        <v>327</v>
      </c>
      <c r="D125" s="30" t="s">
        <v>104</v>
      </c>
      <c r="E125" s="143">
        <v>1720.58</v>
      </c>
      <c r="F125" s="144">
        <v>35013</v>
      </c>
      <c r="G125" s="145">
        <f t="shared" si="65"/>
        <v>60242668</v>
      </c>
      <c r="H125" s="238"/>
      <c r="I125" s="238"/>
      <c r="J125" s="238"/>
      <c r="K125" s="238"/>
      <c r="L125" s="238"/>
      <c r="M125" s="239"/>
      <c r="N125" s="239"/>
      <c r="O125" s="240"/>
      <c r="P125" s="226"/>
      <c r="Q125" s="241"/>
      <c r="R125" s="241"/>
      <c r="S125" s="241"/>
      <c r="T125" s="241"/>
      <c r="U125" s="241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1"/>
      <c r="AG125" s="45"/>
      <c r="AH125" s="46"/>
      <c r="AI125" s="47"/>
      <c r="AJ125" s="47"/>
      <c r="AK125" s="47"/>
      <c r="AL125" s="48"/>
      <c r="AM125" s="49"/>
      <c r="AN125" s="84"/>
      <c r="AP125" s="242"/>
      <c r="AQ125" s="242"/>
      <c r="AR125" s="242"/>
      <c r="AS125" s="243"/>
      <c r="AT125" s="244"/>
      <c r="AU125" s="84"/>
      <c r="AV125" s="85"/>
      <c r="AW125" s="412">
        <f t="shared" si="67"/>
        <v>41665</v>
      </c>
      <c r="AX125" s="412"/>
      <c r="AY125" s="419">
        <f t="shared" si="66"/>
        <v>71687966</v>
      </c>
    </row>
    <row r="126" spans="1:51" s="229" customFormat="1" ht="60" customHeight="1" x14ac:dyDescent="0.25">
      <c r="A126" s="214"/>
      <c r="B126" s="172" t="s">
        <v>328</v>
      </c>
      <c r="C126" s="173" t="str">
        <f>+'[3]APUS '!C2701</f>
        <v>MACROMEDIDOR 8" FULL BORE, BRIDADO ANSI 150, PROTOCOLO HART ERROR MÁXIMO 0.2%, TOTALIZADORES INDEPENDIENTE, IP68, 24 VDC, AUTO DIAGNÓSTICO Y CALIBRACIÓN HEARBEAT</v>
      </c>
      <c r="D126" s="174" t="s">
        <v>90</v>
      </c>
      <c r="E126" s="175">
        <v>1</v>
      </c>
      <c r="F126" s="176">
        <v>21268980</v>
      </c>
      <c r="G126" s="177">
        <f t="shared" si="65"/>
        <v>21268980</v>
      </c>
      <c r="H126" s="238"/>
      <c r="I126" s="238"/>
      <c r="J126" s="238"/>
      <c r="K126" s="238"/>
      <c r="L126" s="238"/>
      <c r="M126" s="239"/>
      <c r="N126" s="239"/>
      <c r="O126" s="240"/>
      <c r="P126" s="226"/>
      <c r="Q126" s="241"/>
      <c r="R126" s="241"/>
      <c r="S126" s="241"/>
      <c r="T126" s="241"/>
      <c r="U126" s="241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1"/>
      <c r="AG126" s="45"/>
      <c r="AH126" s="46"/>
      <c r="AI126" s="47"/>
      <c r="AJ126" s="47"/>
      <c r="AK126" s="47"/>
      <c r="AL126" s="48"/>
      <c r="AM126" s="49"/>
      <c r="AN126" s="84"/>
      <c r="AP126" s="242"/>
      <c r="AQ126" s="242"/>
      <c r="AR126" s="242"/>
      <c r="AS126" s="243"/>
      <c r="AT126" s="244"/>
      <c r="AU126" s="84"/>
      <c r="AV126" s="85"/>
      <c r="AW126" s="412">
        <f t="shared" si="67"/>
        <v>25310086</v>
      </c>
      <c r="AX126" s="412"/>
      <c r="AY126" s="419">
        <f t="shared" si="66"/>
        <v>25310086</v>
      </c>
    </row>
    <row r="127" spans="1:51" s="229" customFormat="1" ht="15.75" thickBot="1" x14ac:dyDescent="0.3">
      <c r="A127" s="214"/>
      <c r="B127" s="153"/>
      <c r="C127" s="154"/>
      <c r="D127" s="155"/>
      <c r="E127" s="156"/>
      <c r="F127" s="157" t="s">
        <v>329</v>
      </c>
      <c r="G127" s="246">
        <f>ROUND(SUM(G123:G126),0)</f>
        <v>328103240</v>
      </c>
      <c r="H127" s="238"/>
      <c r="I127" s="238"/>
      <c r="J127" s="238"/>
      <c r="K127" s="238"/>
      <c r="L127" s="238"/>
      <c r="M127" s="239"/>
      <c r="N127" s="239"/>
      <c r="O127" s="240"/>
      <c r="P127" s="226"/>
      <c r="Q127" s="241"/>
      <c r="R127" s="241"/>
      <c r="S127" s="241"/>
      <c r="T127" s="241"/>
      <c r="U127" s="241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1"/>
      <c r="AG127" s="45"/>
      <c r="AH127" s="46"/>
      <c r="AI127" s="47"/>
      <c r="AJ127" s="47"/>
      <c r="AK127" s="47"/>
      <c r="AL127" s="48"/>
      <c r="AM127" s="49"/>
      <c r="AN127" s="84"/>
      <c r="AP127" s="242"/>
      <c r="AQ127" s="242"/>
      <c r="AR127" s="242"/>
      <c r="AS127" s="243"/>
      <c r="AT127" s="244"/>
      <c r="AU127" s="84"/>
      <c r="AV127" s="85"/>
      <c r="AW127" s="412"/>
      <c r="AX127" s="412"/>
      <c r="AY127" s="420"/>
    </row>
    <row r="128" spans="1:51" s="229" customFormat="1" ht="15.75" thickBot="1" x14ac:dyDescent="0.3">
      <c r="A128" s="214"/>
      <c r="B128" s="122"/>
      <c r="C128" s="123"/>
      <c r="D128" s="124"/>
      <c r="E128" s="164"/>
      <c r="F128" s="126"/>
      <c r="G128" s="247"/>
      <c r="H128" s="238"/>
      <c r="I128" s="238"/>
      <c r="J128" s="238"/>
      <c r="K128" s="238"/>
      <c r="L128" s="238"/>
      <c r="M128" s="239"/>
      <c r="N128" s="239"/>
      <c r="O128" s="240"/>
      <c r="P128" s="226"/>
      <c r="Q128" s="241"/>
      <c r="R128" s="241"/>
      <c r="S128" s="241"/>
      <c r="T128" s="241"/>
      <c r="U128" s="241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1"/>
      <c r="AG128" s="45"/>
      <c r="AH128" s="46"/>
      <c r="AI128" s="47"/>
      <c r="AJ128" s="47"/>
      <c r="AK128" s="47"/>
      <c r="AL128" s="48"/>
      <c r="AM128" s="49"/>
      <c r="AN128" s="84"/>
      <c r="AP128" s="242"/>
      <c r="AQ128" s="242"/>
      <c r="AR128" s="242"/>
      <c r="AS128" s="243"/>
      <c r="AT128" s="244"/>
      <c r="AU128" s="84"/>
      <c r="AV128" s="85"/>
      <c r="AW128" s="412"/>
      <c r="AX128" s="412"/>
      <c r="AY128" s="420"/>
    </row>
    <row r="129" spans="1:51" s="229" customFormat="1" x14ac:dyDescent="0.25">
      <c r="A129" s="214"/>
      <c r="B129" s="129">
        <v>2</v>
      </c>
      <c r="C129" s="130" t="s">
        <v>330</v>
      </c>
      <c r="D129" s="131"/>
      <c r="E129" s="132"/>
      <c r="F129" s="133"/>
      <c r="G129" s="245">
        <f>+G134</f>
        <v>77196000</v>
      </c>
      <c r="H129" s="238"/>
      <c r="I129" s="238"/>
      <c r="J129" s="238"/>
      <c r="K129" s="238"/>
      <c r="L129" s="238"/>
      <c r="M129" s="239"/>
      <c r="N129" s="239"/>
      <c r="O129" s="240"/>
      <c r="P129" s="226"/>
      <c r="Q129" s="241"/>
      <c r="R129" s="241"/>
      <c r="S129" s="241"/>
      <c r="T129" s="241"/>
      <c r="U129" s="241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1"/>
      <c r="AG129" s="45"/>
      <c r="AH129" s="46"/>
      <c r="AI129" s="47"/>
      <c r="AJ129" s="47"/>
      <c r="AK129" s="47"/>
      <c r="AL129" s="48"/>
      <c r="AM129" s="49"/>
      <c r="AN129" s="84"/>
      <c r="AP129" s="242"/>
      <c r="AQ129" s="242"/>
      <c r="AR129" s="242"/>
      <c r="AS129" s="243"/>
      <c r="AT129" s="244"/>
      <c r="AU129" s="84"/>
      <c r="AV129" s="85"/>
      <c r="AW129" s="412"/>
      <c r="AX129" s="412"/>
      <c r="AY129" s="420"/>
    </row>
    <row r="130" spans="1:51" s="229" customFormat="1" x14ac:dyDescent="0.25">
      <c r="A130" s="214"/>
      <c r="B130" s="28" t="s">
        <v>331</v>
      </c>
      <c r="C130" s="29" t="s">
        <v>289</v>
      </c>
      <c r="D130" s="30" t="s">
        <v>90</v>
      </c>
      <c r="E130" s="143">
        <v>250</v>
      </c>
      <c r="F130" s="144">
        <v>120078</v>
      </c>
      <c r="G130" s="145">
        <f>+ROUND(F130*E130,0)</f>
        <v>30019500</v>
      </c>
      <c r="H130" s="238"/>
      <c r="I130" s="238"/>
      <c r="J130" s="238"/>
      <c r="K130" s="238"/>
      <c r="L130" s="238"/>
      <c r="M130" s="239"/>
      <c r="N130" s="239"/>
      <c r="O130" s="240"/>
      <c r="P130" s="226"/>
      <c r="Q130" s="241"/>
      <c r="R130" s="241"/>
      <c r="S130" s="241"/>
      <c r="T130" s="241"/>
      <c r="U130" s="241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1"/>
      <c r="AG130" s="45"/>
      <c r="AH130" s="46"/>
      <c r="AI130" s="47"/>
      <c r="AJ130" s="47"/>
      <c r="AK130" s="47"/>
      <c r="AL130" s="48"/>
      <c r="AM130" s="49"/>
      <c r="AN130" s="84"/>
      <c r="AP130" s="242"/>
      <c r="AQ130" s="242"/>
      <c r="AR130" s="242"/>
      <c r="AS130" s="243"/>
      <c r="AT130" s="244"/>
      <c r="AU130" s="84"/>
      <c r="AV130" s="85"/>
      <c r="AW130" s="412">
        <f t="shared" ref="AW130:AW132" si="68">ROUND(F130*1.19,0)</f>
        <v>142893</v>
      </c>
      <c r="AX130" s="412"/>
      <c r="AY130" s="419">
        <f t="shared" ref="AY130:AY132" si="69">+ROUND(E130*AW130,0)</f>
        <v>35723250</v>
      </c>
    </row>
    <row r="131" spans="1:51" s="229" customFormat="1" x14ac:dyDescent="0.25">
      <c r="A131" s="214"/>
      <c r="B131" s="28" t="s">
        <v>332</v>
      </c>
      <c r="C131" s="29" t="s">
        <v>292</v>
      </c>
      <c r="D131" s="30" t="s">
        <v>90</v>
      </c>
      <c r="E131" s="143">
        <v>450</v>
      </c>
      <c r="F131" s="144">
        <v>101856</v>
      </c>
      <c r="G131" s="145">
        <f t="shared" ref="G131:G132" si="70">+ROUND(F131*E131,0)</f>
        <v>45835200</v>
      </c>
      <c r="H131" s="238"/>
      <c r="I131" s="238"/>
      <c r="J131" s="238"/>
      <c r="K131" s="238"/>
      <c r="L131" s="238"/>
      <c r="M131" s="239"/>
      <c r="N131" s="239"/>
      <c r="O131" s="240"/>
      <c r="P131" s="226"/>
      <c r="Q131" s="241"/>
      <c r="R131" s="241"/>
      <c r="S131" s="241"/>
      <c r="T131" s="241"/>
      <c r="U131" s="241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1"/>
      <c r="AG131" s="45"/>
      <c r="AH131" s="46"/>
      <c r="AI131" s="47"/>
      <c r="AJ131" s="47"/>
      <c r="AK131" s="47"/>
      <c r="AL131" s="48"/>
      <c r="AM131" s="49"/>
      <c r="AN131" s="84"/>
      <c r="AP131" s="242"/>
      <c r="AQ131" s="242"/>
      <c r="AR131" s="242"/>
      <c r="AS131" s="243"/>
      <c r="AT131" s="244"/>
      <c r="AU131" s="84"/>
      <c r="AV131" s="85"/>
      <c r="AW131" s="412">
        <f t="shared" si="68"/>
        <v>121209</v>
      </c>
      <c r="AX131" s="412"/>
      <c r="AY131" s="419">
        <f t="shared" si="69"/>
        <v>54544050</v>
      </c>
    </row>
    <row r="132" spans="1:51" s="229" customFormat="1" x14ac:dyDescent="0.25">
      <c r="A132" s="214"/>
      <c r="B132" s="28" t="s">
        <v>333</v>
      </c>
      <c r="C132" s="29" t="s">
        <v>295</v>
      </c>
      <c r="D132" s="30" t="s">
        <v>90</v>
      </c>
      <c r="E132" s="143">
        <v>10</v>
      </c>
      <c r="F132" s="144">
        <v>134130</v>
      </c>
      <c r="G132" s="145">
        <f t="shared" si="70"/>
        <v>1341300</v>
      </c>
      <c r="H132" s="238"/>
      <c r="I132" s="238"/>
      <c r="J132" s="238"/>
      <c r="K132" s="238"/>
      <c r="L132" s="238"/>
      <c r="M132" s="239"/>
      <c r="N132" s="239"/>
      <c r="O132" s="240"/>
      <c r="P132" s="226"/>
      <c r="Q132" s="241"/>
      <c r="R132" s="241"/>
      <c r="S132" s="241"/>
      <c r="T132" s="241"/>
      <c r="U132" s="241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1"/>
      <c r="AG132" s="45"/>
      <c r="AH132" s="46"/>
      <c r="AI132" s="47"/>
      <c r="AJ132" s="47"/>
      <c r="AK132" s="47"/>
      <c r="AL132" s="48"/>
      <c r="AM132" s="49"/>
      <c r="AN132" s="84"/>
      <c r="AP132" s="242"/>
      <c r="AQ132" s="242"/>
      <c r="AR132" s="242"/>
      <c r="AS132" s="243"/>
      <c r="AT132" s="244"/>
      <c r="AU132" s="84"/>
      <c r="AV132" s="85"/>
      <c r="AW132" s="412">
        <f t="shared" si="68"/>
        <v>159615</v>
      </c>
      <c r="AX132" s="412"/>
      <c r="AY132" s="419">
        <f t="shared" si="69"/>
        <v>1596150</v>
      </c>
    </row>
    <row r="133" spans="1:51" s="229" customFormat="1" x14ac:dyDescent="0.25">
      <c r="A133" s="214"/>
      <c r="B133" s="147"/>
      <c r="C133" s="29"/>
      <c r="D133" s="30"/>
      <c r="E133" s="148"/>
      <c r="F133" s="144"/>
      <c r="G133" s="145"/>
      <c r="H133" s="238"/>
      <c r="I133" s="238"/>
      <c r="J133" s="238"/>
      <c r="K133" s="238"/>
      <c r="L133" s="238"/>
      <c r="M133" s="239"/>
      <c r="N133" s="239"/>
      <c r="O133" s="240"/>
      <c r="P133" s="226"/>
      <c r="Q133" s="241"/>
      <c r="R133" s="241"/>
      <c r="S133" s="241"/>
      <c r="T133" s="241"/>
      <c r="U133" s="241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1"/>
      <c r="AG133" s="45"/>
      <c r="AH133" s="46"/>
      <c r="AI133" s="47"/>
      <c r="AJ133" s="47"/>
      <c r="AK133" s="47"/>
      <c r="AL133" s="48"/>
      <c r="AM133" s="49"/>
      <c r="AN133" s="84"/>
      <c r="AP133" s="242"/>
      <c r="AQ133" s="242"/>
      <c r="AR133" s="242"/>
      <c r="AS133" s="243"/>
      <c r="AT133" s="244"/>
      <c r="AU133" s="84"/>
      <c r="AV133" s="85"/>
      <c r="AW133" s="412"/>
      <c r="AX133" s="412"/>
      <c r="AY133" s="420"/>
    </row>
    <row r="134" spans="1:51" s="229" customFormat="1" ht="15.75" thickBot="1" x14ac:dyDescent="0.3">
      <c r="A134" s="214"/>
      <c r="B134" s="153"/>
      <c r="C134" s="154"/>
      <c r="D134" s="155"/>
      <c r="E134" s="156"/>
      <c r="F134" s="157" t="s">
        <v>334</v>
      </c>
      <c r="G134" s="246">
        <f>ROUND(SUM(G130:G133),0)</f>
        <v>77196000</v>
      </c>
      <c r="H134" s="238"/>
      <c r="I134" s="238"/>
      <c r="J134" s="238"/>
      <c r="K134" s="238"/>
      <c r="L134" s="238"/>
      <c r="M134" s="239"/>
      <c r="N134" s="239"/>
      <c r="O134" s="240"/>
      <c r="P134" s="226"/>
      <c r="Q134" s="241"/>
      <c r="R134" s="241"/>
      <c r="S134" s="241"/>
      <c r="T134" s="241"/>
      <c r="U134" s="241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1"/>
      <c r="AG134" s="45"/>
      <c r="AH134" s="46"/>
      <c r="AI134" s="47"/>
      <c r="AJ134" s="47"/>
      <c r="AK134" s="47"/>
      <c r="AL134" s="48"/>
      <c r="AM134" s="49"/>
      <c r="AN134" s="84"/>
      <c r="AP134" s="242"/>
      <c r="AQ134" s="242"/>
      <c r="AR134" s="242"/>
      <c r="AS134" s="243"/>
      <c r="AT134" s="244"/>
      <c r="AU134" s="84"/>
      <c r="AV134" s="85"/>
      <c r="AW134" s="412"/>
      <c r="AX134" s="412"/>
      <c r="AY134" s="420"/>
    </row>
    <row r="135" spans="1:51" s="229" customFormat="1" x14ac:dyDescent="0.25">
      <c r="A135" s="214"/>
      <c r="B135" s="122"/>
      <c r="C135" s="123"/>
      <c r="D135" s="124"/>
      <c r="E135" s="164"/>
      <c r="F135" s="126"/>
      <c r="G135" s="247"/>
      <c r="H135" s="238"/>
      <c r="I135" s="238"/>
      <c r="J135" s="238"/>
      <c r="K135" s="238"/>
      <c r="L135" s="238"/>
      <c r="M135" s="239"/>
      <c r="N135" s="239"/>
      <c r="O135" s="240"/>
      <c r="P135" s="226"/>
      <c r="Q135" s="241"/>
      <c r="R135" s="241"/>
      <c r="S135" s="241"/>
      <c r="T135" s="241"/>
      <c r="U135" s="241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1"/>
      <c r="AG135" s="45"/>
      <c r="AH135" s="46"/>
      <c r="AI135" s="47"/>
      <c r="AJ135" s="47"/>
      <c r="AK135" s="47"/>
      <c r="AL135" s="48"/>
      <c r="AM135" s="49"/>
      <c r="AN135" s="84"/>
      <c r="AP135" s="242"/>
      <c r="AQ135" s="242"/>
      <c r="AR135" s="242"/>
      <c r="AS135" s="243"/>
      <c r="AT135" s="244"/>
      <c r="AU135" s="84"/>
      <c r="AV135" s="85"/>
      <c r="AW135" s="412"/>
      <c r="AX135" s="412"/>
      <c r="AY135" s="420"/>
    </row>
    <row r="136" spans="1:51" s="229" customFormat="1" x14ac:dyDescent="0.25">
      <c r="A136" s="214"/>
      <c r="B136" s="215"/>
      <c r="C136" s="216"/>
      <c r="D136" s="217"/>
      <c r="E136" s="218"/>
      <c r="F136" s="219" t="s">
        <v>335</v>
      </c>
      <c r="G136" s="248">
        <f>+G134+G127</f>
        <v>405299240</v>
      </c>
      <c r="H136" s="238"/>
      <c r="I136" s="238"/>
      <c r="J136" s="238"/>
      <c r="K136" s="238"/>
      <c r="L136" s="238"/>
      <c r="M136" s="239"/>
      <c r="N136" s="239"/>
      <c r="O136" s="240"/>
      <c r="P136" s="226"/>
      <c r="Q136" s="241"/>
      <c r="R136" s="241"/>
      <c r="S136" s="241"/>
      <c r="T136" s="241"/>
      <c r="U136" s="241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1"/>
      <c r="AG136" s="45"/>
      <c r="AH136" s="46"/>
      <c r="AI136" s="47"/>
      <c r="AJ136" s="47"/>
      <c r="AK136" s="47"/>
      <c r="AL136" s="48"/>
      <c r="AM136" s="49"/>
      <c r="AN136" s="84"/>
      <c r="AP136" s="242"/>
      <c r="AQ136" s="242"/>
      <c r="AR136" s="242"/>
      <c r="AS136" s="243"/>
      <c r="AT136" s="244"/>
      <c r="AU136" s="84"/>
      <c r="AV136" s="85"/>
      <c r="AW136" s="412"/>
      <c r="AX136" s="412"/>
      <c r="AY136" s="420"/>
    </row>
    <row r="137" spans="1:51" s="229" customFormat="1" x14ac:dyDescent="0.25">
      <c r="A137" s="214"/>
      <c r="B137" s="215"/>
      <c r="C137" s="234"/>
      <c r="D137" s="234"/>
      <c r="E137" s="235"/>
      <c r="F137" s="236"/>
      <c r="G137" s="237"/>
      <c r="H137" s="238"/>
      <c r="I137" s="238"/>
      <c r="J137" s="238"/>
      <c r="K137" s="238"/>
      <c r="L137" s="238"/>
      <c r="M137" s="239"/>
      <c r="N137" s="239"/>
      <c r="O137" s="240"/>
      <c r="P137" s="226"/>
      <c r="Q137" s="241"/>
      <c r="R137" s="241"/>
      <c r="S137" s="241"/>
      <c r="T137" s="241"/>
      <c r="U137" s="241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1"/>
      <c r="AG137" s="45"/>
      <c r="AH137" s="46"/>
      <c r="AI137" s="47"/>
      <c r="AJ137" s="47"/>
      <c r="AK137" s="47"/>
      <c r="AL137" s="48"/>
      <c r="AM137" s="49"/>
      <c r="AN137" s="84"/>
      <c r="AP137" s="242"/>
      <c r="AQ137" s="242"/>
      <c r="AR137" s="242"/>
      <c r="AS137" s="243"/>
      <c r="AT137" s="244"/>
      <c r="AU137" s="84"/>
      <c r="AV137" s="85"/>
      <c r="AW137" s="412"/>
      <c r="AX137" s="412"/>
      <c r="AY137" s="420"/>
    </row>
    <row r="138" spans="1:51" s="229" customFormat="1" ht="15.75" thickBot="1" x14ac:dyDescent="0.3">
      <c r="A138" s="214" t="s">
        <v>336</v>
      </c>
      <c r="B138" s="215"/>
      <c r="C138" s="249"/>
      <c r="D138" s="250"/>
      <c r="E138" s="251"/>
      <c r="F138" s="252" t="s">
        <v>337</v>
      </c>
      <c r="G138" s="253">
        <f>+G120</f>
        <v>1782755745</v>
      </c>
      <c r="H138" s="221"/>
      <c r="I138" s="415"/>
      <c r="J138" s="222"/>
      <c r="K138" s="222"/>
      <c r="L138" s="222"/>
      <c r="M138" s="223"/>
      <c r="N138" s="224"/>
      <c r="O138" s="225">
        <f>+G138*$O$2</f>
        <v>1782755745</v>
      </c>
      <c r="P138" s="226"/>
      <c r="Q138" s="254" t="e">
        <f>SUM(Q118:Q120)/2</f>
        <v>#REF!</v>
      </c>
      <c r="R138" s="255"/>
      <c r="S138" s="255"/>
      <c r="T138" s="255"/>
      <c r="U138" s="255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7"/>
      <c r="AG138" s="258"/>
      <c r="AH138" s="259"/>
      <c r="AI138" s="260"/>
      <c r="AJ138" s="260"/>
      <c r="AK138" s="260"/>
      <c r="AL138" s="261"/>
      <c r="AM138" s="262"/>
      <c r="AP138" s="263"/>
      <c r="AQ138" s="264"/>
      <c r="AR138" s="264"/>
      <c r="AS138" s="265" t="s">
        <v>337</v>
      </c>
      <c r="AT138" s="266"/>
      <c r="AV138" s="267"/>
      <c r="AW138" s="414"/>
      <c r="AX138" s="414"/>
      <c r="AY138" s="420"/>
    </row>
    <row r="139" spans="1:51" s="84" customFormat="1" x14ac:dyDescent="0.25">
      <c r="A139" s="80"/>
      <c r="B139" s="268"/>
      <c r="C139" s="269"/>
      <c r="D139" s="270"/>
      <c r="E139" s="125"/>
      <c r="F139" s="271"/>
      <c r="G139" s="272"/>
      <c r="H139" s="110"/>
      <c r="I139" s="110"/>
      <c r="J139" s="110"/>
      <c r="K139" s="110"/>
      <c r="L139" s="110"/>
      <c r="M139" s="110"/>
      <c r="N139" s="26"/>
      <c r="O139" s="273">
        <f>IF($A$2="CD",N138-O138,IF($A$2="CT",M138-O138,""))</f>
        <v>-1782755745</v>
      </c>
      <c r="P139" s="274"/>
      <c r="Q139" s="274"/>
      <c r="R139" s="274"/>
      <c r="S139" s="274"/>
      <c r="T139" s="274"/>
      <c r="U139" s="274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6"/>
      <c r="AG139" s="45"/>
      <c r="AH139" s="46"/>
      <c r="AI139" s="47"/>
      <c r="AJ139" s="47"/>
      <c r="AK139" s="47"/>
      <c r="AL139" s="48"/>
      <c r="AM139" s="49"/>
      <c r="AV139" s="85"/>
      <c r="AW139" s="412"/>
      <c r="AX139" s="412"/>
      <c r="AY139" s="418"/>
    </row>
    <row r="140" spans="1:51" s="229" customFormat="1" ht="15.75" thickBot="1" x14ac:dyDescent="0.3">
      <c r="A140" s="214" t="s">
        <v>338</v>
      </c>
      <c r="B140" s="215"/>
      <c r="C140" s="249"/>
      <c r="D140" s="250"/>
      <c r="E140" s="251"/>
      <c r="F140" s="252" t="s">
        <v>339</v>
      </c>
      <c r="G140" s="253">
        <f>+$G$136</f>
        <v>405299240</v>
      </c>
      <c r="H140" s="221"/>
      <c r="I140" s="415"/>
      <c r="J140" s="222"/>
      <c r="K140" s="222"/>
      <c r="L140" s="222"/>
      <c r="M140" s="223"/>
      <c r="N140" s="224"/>
      <c r="O140" s="225">
        <f>+G140*$O$2</f>
        <v>405299240</v>
      </c>
      <c r="P140" s="226"/>
      <c r="Q140" s="254" t="e">
        <f>SUM(Q118:Q138)/2</f>
        <v>#REF!</v>
      </c>
      <c r="R140" s="255"/>
      <c r="S140" s="255"/>
      <c r="T140" s="255"/>
      <c r="U140" s="255"/>
      <c r="V140" s="256"/>
      <c r="W140" s="256"/>
      <c r="X140" s="256"/>
      <c r="Y140" s="256"/>
      <c r="Z140" s="256"/>
      <c r="AA140" s="256"/>
      <c r="AB140" s="256"/>
      <c r="AC140" s="256"/>
      <c r="AD140" s="256"/>
      <c r="AE140" s="256"/>
      <c r="AF140" s="257"/>
      <c r="AG140" s="258"/>
      <c r="AH140" s="259"/>
      <c r="AI140" s="260"/>
      <c r="AJ140" s="260"/>
      <c r="AK140" s="260"/>
      <c r="AL140" s="261"/>
      <c r="AM140" s="262"/>
      <c r="AP140" s="277"/>
      <c r="AQ140" s="278"/>
      <c r="AR140" s="278"/>
      <c r="AS140" s="279" t="s">
        <v>339</v>
      </c>
      <c r="AT140" s="280"/>
      <c r="AV140" s="267"/>
      <c r="AW140" s="414"/>
      <c r="AX140" s="414"/>
      <c r="AY140" s="420"/>
    </row>
    <row r="141" spans="1:51" s="84" customFormat="1" ht="23.25" customHeight="1" x14ac:dyDescent="0.25">
      <c r="A141" s="80"/>
      <c r="B141" s="268"/>
      <c r="C141" s="269"/>
      <c r="D141" s="270"/>
      <c r="E141" s="125"/>
      <c r="F141" s="271"/>
      <c r="G141" s="281"/>
      <c r="H141" s="110"/>
      <c r="I141" s="110"/>
      <c r="J141" s="110"/>
      <c r="K141" s="110"/>
      <c r="L141" s="110"/>
      <c r="M141" s="110"/>
      <c r="N141" s="26"/>
      <c r="O141" s="273">
        <f>IF($A$2="CD",N140-O140,IF($A$2="CT",M140-O140,""))</f>
        <v>-405299240</v>
      </c>
      <c r="P141" s="274"/>
      <c r="Q141" s="274"/>
      <c r="R141" s="274"/>
      <c r="S141" s="274"/>
      <c r="T141" s="274"/>
      <c r="U141" s="274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76"/>
      <c r="AG141" s="45"/>
      <c r="AH141" s="46"/>
      <c r="AI141" s="47"/>
      <c r="AJ141" s="47"/>
      <c r="AK141" s="47"/>
      <c r="AL141" s="48"/>
      <c r="AM141" s="49"/>
      <c r="AV141" s="85"/>
      <c r="AW141" s="412"/>
      <c r="AX141" s="412"/>
      <c r="AY141" s="418"/>
    </row>
    <row r="142" spans="1:51" s="84" customFormat="1" ht="15" customHeight="1" x14ac:dyDescent="0.25">
      <c r="A142" s="282" t="s">
        <v>340</v>
      </c>
      <c r="B142" s="268"/>
      <c r="C142" s="283" t="s">
        <v>341</v>
      </c>
      <c r="D142" s="284"/>
      <c r="E142" s="285"/>
      <c r="F142" s="286"/>
      <c r="G142" s="287"/>
      <c r="H142" s="288"/>
      <c r="I142" s="289"/>
      <c r="J142" s="289"/>
      <c r="K142" s="289"/>
      <c r="L142" s="289"/>
      <c r="M142" s="289"/>
      <c r="N142" s="290"/>
      <c r="O142" s="291"/>
      <c r="P142" s="274"/>
      <c r="Q142" s="274"/>
      <c r="R142" s="274"/>
      <c r="S142" s="274"/>
      <c r="T142" s="274"/>
      <c r="U142" s="274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1"/>
      <c r="AG142" s="45"/>
      <c r="AH142" s="46"/>
      <c r="AI142" s="47"/>
      <c r="AJ142" s="47"/>
      <c r="AK142" s="47"/>
      <c r="AL142" s="48"/>
      <c r="AM142" s="49"/>
      <c r="AP142" s="637" t="s">
        <v>341</v>
      </c>
      <c r="AQ142" s="638"/>
      <c r="AR142" s="638"/>
      <c r="AS142" s="638"/>
      <c r="AT142" s="292"/>
      <c r="AV142" s="85"/>
      <c r="AW142" s="412"/>
      <c r="AX142" s="412"/>
      <c r="AY142" s="418"/>
    </row>
    <row r="143" spans="1:51" s="84" customFormat="1" x14ac:dyDescent="0.25">
      <c r="A143" s="293" t="s">
        <v>342</v>
      </c>
      <c r="B143" s="26"/>
      <c r="C143" s="294"/>
      <c r="D143" s="295"/>
      <c r="E143" s="296"/>
      <c r="F143" s="297" t="s">
        <v>337</v>
      </c>
      <c r="G143" s="298">
        <f>G138</f>
        <v>1782755745</v>
      </c>
      <c r="H143" s="299"/>
      <c r="I143" s="300"/>
      <c r="J143" s="300"/>
      <c r="K143" s="300"/>
      <c r="L143" s="300"/>
      <c r="M143" s="300"/>
      <c r="N143" s="301"/>
      <c r="O143" s="302">
        <f t="shared" ref="O143:O148" si="71">G143*$O$2</f>
        <v>1782755745</v>
      </c>
      <c r="P143" s="303"/>
      <c r="Q143" s="303"/>
      <c r="R143" s="303"/>
      <c r="S143" s="303"/>
      <c r="T143" s="303"/>
      <c r="U143" s="303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304"/>
      <c r="AG143" s="45"/>
      <c r="AH143" s="46"/>
      <c r="AI143" s="47"/>
      <c r="AJ143" s="47"/>
      <c r="AK143" s="47"/>
      <c r="AL143" s="48"/>
      <c r="AM143" s="49"/>
      <c r="AP143" s="305"/>
      <c r="AQ143" s="306"/>
      <c r="AR143" s="306"/>
      <c r="AS143" s="307" t="s">
        <v>337</v>
      </c>
      <c r="AT143" s="308">
        <f>AT138</f>
        <v>0</v>
      </c>
      <c r="AV143" s="85"/>
      <c r="AW143" s="412"/>
      <c r="AX143" s="412"/>
      <c r="AY143" s="418"/>
    </row>
    <row r="144" spans="1:51" s="84" customFormat="1" x14ac:dyDescent="0.25">
      <c r="A144" s="293" t="s">
        <v>343</v>
      </c>
      <c r="B144" s="26"/>
      <c r="C144" s="309"/>
      <c r="D144" s="310"/>
      <c r="E144" s="311" t="s">
        <v>344</v>
      </c>
      <c r="F144" s="312">
        <v>0.27995004273566371</v>
      </c>
      <c r="G144" s="313">
        <f>+ROUND($G$143*F144,0)</f>
        <v>499082547</v>
      </c>
      <c r="H144" s="314"/>
      <c r="I144" s="315"/>
      <c r="J144" s="315"/>
      <c r="K144" s="315"/>
      <c r="L144" s="315"/>
      <c r="M144" s="315"/>
      <c r="N144" s="316"/>
      <c r="O144" s="317">
        <f t="shared" si="71"/>
        <v>499082547</v>
      </c>
      <c r="P144" s="318"/>
      <c r="Q144" s="318"/>
      <c r="R144" s="318"/>
      <c r="S144" s="318"/>
      <c r="T144" s="318"/>
      <c r="U144" s="318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304"/>
      <c r="AG144" s="45"/>
      <c r="AH144" s="46"/>
      <c r="AI144" s="47"/>
      <c r="AJ144" s="47"/>
      <c r="AK144" s="47"/>
      <c r="AL144" s="48"/>
      <c r="AM144" s="49"/>
      <c r="AP144" s="319"/>
      <c r="AQ144" s="320"/>
      <c r="AR144" s="321" t="s">
        <v>344</v>
      </c>
      <c r="AS144" s="322">
        <f>F144</f>
        <v>0.27995004273566371</v>
      </c>
      <c r="AT144" s="323">
        <f>ROUND(AT143*AS144,0)</f>
        <v>0</v>
      </c>
      <c r="AV144" s="85"/>
      <c r="AW144" s="412"/>
      <c r="AX144" s="412"/>
      <c r="AY144" s="418"/>
    </row>
    <row r="145" spans="1:51" s="84" customFormat="1" x14ac:dyDescent="0.25">
      <c r="A145" s="293" t="s">
        <v>345</v>
      </c>
      <c r="B145" s="26"/>
      <c r="C145" s="324"/>
      <c r="D145" s="325"/>
      <c r="E145" s="326" t="s">
        <v>346</v>
      </c>
      <c r="F145" s="327">
        <v>0.01</v>
      </c>
      <c r="G145" s="313">
        <f t="shared" ref="G145:G146" si="72">+ROUND($G$143*F145,0)</f>
        <v>17827557</v>
      </c>
      <c r="H145" s="314"/>
      <c r="I145" s="315"/>
      <c r="J145" s="315"/>
      <c r="K145" s="315"/>
      <c r="L145" s="315"/>
      <c r="M145" s="315"/>
      <c r="N145" s="328"/>
      <c r="O145" s="329">
        <f t="shared" si="71"/>
        <v>17827557</v>
      </c>
      <c r="P145" s="318"/>
      <c r="Q145" s="318"/>
      <c r="R145" s="318"/>
      <c r="S145" s="318"/>
      <c r="T145" s="318"/>
      <c r="U145" s="318"/>
      <c r="V145" s="315"/>
      <c r="W145" s="315"/>
      <c r="X145" s="315"/>
      <c r="Y145" s="315"/>
      <c r="Z145" s="315"/>
      <c r="AA145" s="315"/>
      <c r="AB145" s="315"/>
      <c r="AC145" s="315"/>
      <c r="AD145" s="315"/>
      <c r="AE145" s="315"/>
      <c r="AF145" s="330"/>
      <c r="AG145" s="45"/>
      <c r="AH145" s="46"/>
      <c r="AI145" s="47"/>
      <c r="AJ145" s="47"/>
      <c r="AK145" s="47"/>
      <c r="AL145" s="48"/>
      <c r="AM145" s="49"/>
      <c r="AP145" s="331"/>
      <c r="AQ145" s="332"/>
      <c r="AR145" s="333" t="s">
        <v>346</v>
      </c>
      <c r="AS145" s="322">
        <f>F145</f>
        <v>0.01</v>
      </c>
      <c r="AT145" s="334">
        <f>ROUND(AT143*AS145,0)</f>
        <v>0</v>
      </c>
      <c r="AV145" s="85"/>
      <c r="AW145" s="412"/>
      <c r="AX145" s="412"/>
      <c r="AY145" s="418"/>
    </row>
    <row r="146" spans="1:51" s="84" customFormat="1" x14ac:dyDescent="0.25">
      <c r="A146" s="293" t="s">
        <v>347</v>
      </c>
      <c r="B146" s="26"/>
      <c r="C146" s="324"/>
      <c r="D146" s="325"/>
      <c r="E146" s="326" t="s">
        <v>348</v>
      </c>
      <c r="F146" s="327">
        <v>0.05</v>
      </c>
      <c r="G146" s="313">
        <f t="shared" si="72"/>
        <v>89137787</v>
      </c>
      <c r="H146" s="314"/>
      <c r="I146" s="315"/>
      <c r="J146" s="315"/>
      <c r="K146" s="315"/>
      <c r="L146" s="315"/>
      <c r="M146" s="315"/>
      <c r="N146" s="316"/>
      <c r="O146" s="329">
        <f t="shared" si="71"/>
        <v>89137787</v>
      </c>
      <c r="P146" s="318"/>
      <c r="Q146" s="318"/>
      <c r="R146" s="318"/>
      <c r="S146" s="318"/>
      <c r="T146" s="318"/>
      <c r="U146" s="318"/>
      <c r="V146" s="315"/>
      <c r="W146" s="315"/>
      <c r="X146" s="315"/>
      <c r="Y146" s="315"/>
      <c r="Z146" s="315"/>
      <c r="AA146" s="315"/>
      <c r="AB146" s="315"/>
      <c r="AC146" s="315"/>
      <c r="AD146" s="315"/>
      <c r="AE146" s="315"/>
      <c r="AF146" s="330"/>
      <c r="AG146" s="45"/>
      <c r="AH146" s="46"/>
      <c r="AI146" s="47"/>
      <c r="AJ146" s="47"/>
      <c r="AK146" s="47"/>
      <c r="AL146" s="48"/>
      <c r="AM146" s="49"/>
      <c r="AP146" s="331"/>
      <c r="AQ146" s="332"/>
      <c r="AR146" s="333" t="s">
        <v>348</v>
      </c>
      <c r="AS146" s="322">
        <f>F146</f>
        <v>0.05</v>
      </c>
      <c r="AT146" s="334">
        <f>ROUND(AT143*AS146,0)</f>
        <v>0</v>
      </c>
      <c r="AV146" s="85"/>
      <c r="AW146" s="412"/>
      <c r="AX146" s="412"/>
      <c r="AY146" s="418"/>
    </row>
    <row r="147" spans="1:51" s="84" customFormat="1" x14ac:dyDescent="0.25">
      <c r="A147" s="293" t="s">
        <v>349</v>
      </c>
      <c r="B147" s="26"/>
      <c r="C147" s="335"/>
      <c r="D147" s="336"/>
      <c r="E147" s="337" t="s">
        <v>350</v>
      </c>
      <c r="F147" s="338">
        <f>SUM(F144:F146)</f>
        <v>0.3399500427356637</v>
      </c>
      <c r="G147" s="339">
        <f>SUM(G144:G146)</f>
        <v>606047891</v>
      </c>
      <c r="H147" s="340"/>
      <c r="I147" s="341"/>
      <c r="J147" s="341"/>
      <c r="K147" s="341"/>
      <c r="L147" s="341"/>
      <c r="M147" s="341"/>
      <c r="N147" s="342" t="e">
        <f>+TtlCD*N145</f>
        <v>#NAME?</v>
      </c>
      <c r="O147" s="343">
        <f t="shared" si="71"/>
        <v>606047891</v>
      </c>
      <c r="P147" s="344"/>
      <c r="Q147" s="344"/>
      <c r="R147" s="344"/>
      <c r="S147" s="344"/>
      <c r="T147" s="344"/>
      <c r="U147" s="344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6"/>
      <c r="AG147" s="45"/>
      <c r="AH147" s="46"/>
      <c r="AI147" s="47"/>
      <c r="AJ147" s="47"/>
      <c r="AK147" s="47"/>
      <c r="AL147" s="48"/>
      <c r="AM147" s="49"/>
      <c r="AP147" s="347"/>
      <c r="AQ147" s="348"/>
      <c r="AR147" s="349" t="s">
        <v>350</v>
      </c>
      <c r="AS147" s="350">
        <f>SUM(AS144:AS146)</f>
        <v>0.3399500427356637</v>
      </c>
      <c r="AT147" s="351">
        <f>SUM(AT144:AT146)</f>
        <v>0</v>
      </c>
      <c r="AV147" s="85"/>
      <c r="AW147" s="412"/>
      <c r="AX147" s="412"/>
      <c r="AY147" s="418"/>
    </row>
    <row r="148" spans="1:51" s="84" customFormat="1" x14ac:dyDescent="0.25">
      <c r="A148" s="293" t="s">
        <v>351</v>
      </c>
      <c r="B148" s="26"/>
      <c r="C148" s="352"/>
      <c r="D148" s="353"/>
      <c r="E148" s="354"/>
      <c r="F148" s="355" t="s">
        <v>352</v>
      </c>
      <c r="G148" s="356">
        <f>G143+G147</f>
        <v>2388803636</v>
      </c>
      <c r="H148" s="357"/>
      <c r="I148" s="359"/>
      <c r="J148" s="358"/>
      <c r="K148" s="359" t="e">
        <f>+K147+K143+#REF!</f>
        <v>#REF!</v>
      </c>
      <c r="L148" s="359" t="e">
        <f>+L147+L143+#REF!</f>
        <v>#REF!</v>
      </c>
      <c r="M148" s="359" t="e">
        <f>+M147+M143+#REF!</f>
        <v>#REF!</v>
      </c>
      <c r="N148" s="360"/>
      <c r="O148" s="361">
        <f t="shared" si="71"/>
        <v>2388803636</v>
      </c>
      <c r="P148" s="345"/>
      <c r="Q148" s="345"/>
      <c r="R148" s="345"/>
      <c r="S148" s="345"/>
      <c r="T148" s="345"/>
      <c r="U148" s="345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304"/>
      <c r="AG148" s="45"/>
      <c r="AH148" s="46"/>
      <c r="AI148" s="47"/>
      <c r="AJ148" s="47"/>
      <c r="AK148" s="47"/>
      <c r="AL148" s="48"/>
      <c r="AM148" s="49"/>
      <c r="AP148" s="362"/>
      <c r="AQ148" s="363"/>
      <c r="AR148" s="363"/>
      <c r="AS148" s="364" t="s">
        <v>352</v>
      </c>
      <c r="AT148" s="365" t="e">
        <f>AT143+AT147+#REF!</f>
        <v>#REF!</v>
      </c>
      <c r="AV148" s="85"/>
      <c r="AW148" s="412"/>
      <c r="AX148" s="412"/>
      <c r="AY148" s="418"/>
    </row>
    <row r="149" spans="1:51" s="84" customFormat="1" x14ac:dyDescent="0.25">
      <c r="A149" s="366"/>
      <c r="B149" s="26"/>
      <c r="C149" s="26"/>
      <c r="D149" s="26"/>
      <c r="E149" s="367"/>
      <c r="F149" s="368"/>
      <c r="G149" s="369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304"/>
      <c r="AG149" s="45"/>
      <c r="AH149" s="46"/>
      <c r="AI149" s="47"/>
      <c r="AJ149" s="47"/>
      <c r="AK149" s="47"/>
      <c r="AL149" s="48"/>
      <c r="AM149" s="49"/>
      <c r="AV149" s="85"/>
      <c r="AW149" s="412"/>
      <c r="AX149" s="412"/>
      <c r="AY149" s="418"/>
    </row>
    <row r="150" spans="1:51" s="84" customFormat="1" ht="15" customHeight="1" x14ac:dyDescent="0.25">
      <c r="A150" s="282" t="s">
        <v>353</v>
      </c>
      <c r="B150" s="268"/>
      <c r="C150" s="283" t="s">
        <v>354</v>
      </c>
      <c r="D150" s="284"/>
      <c r="E150" s="285"/>
      <c r="F150" s="286"/>
      <c r="G150" s="287"/>
      <c r="H150" s="288"/>
      <c r="I150" s="289"/>
      <c r="J150" s="289"/>
      <c r="K150" s="289"/>
      <c r="L150" s="289"/>
      <c r="M150" s="289"/>
      <c r="N150" s="290"/>
      <c r="O150" s="291"/>
      <c r="P150" s="274"/>
      <c r="Q150" s="274"/>
      <c r="R150" s="274"/>
      <c r="S150" s="274"/>
      <c r="T150" s="274"/>
      <c r="U150" s="274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1"/>
      <c r="AG150" s="45"/>
      <c r="AH150" s="46"/>
      <c r="AI150" s="47"/>
      <c r="AJ150" s="47"/>
      <c r="AK150" s="47"/>
      <c r="AL150" s="48"/>
      <c r="AM150" s="49"/>
      <c r="AP150" s="639" t="s">
        <v>354</v>
      </c>
      <c r="AQ150" s="640"/>
      <c r="AR150" s="640"/>
      <c r="AS150" s="640"/>
      <c r="AT150" s="370"/>
      <c r="AV150" s="85"/>
      <c r="AW150" s="412"/>
      <c r="AX150" s="412"/>
      <c r="AY150" s="418"/>
    </row>
    <row r="151" spans="1:51" s="84" customFormat="1" x14ac:dyDescent="0.25">
      <c r="A151" s="293" t="s">
        <v>355</v>
      </c>
      <c r="B151" s="26"/>
      <c r="C151" s="294"/>
      <c r="D151" s="295"/>
      <c r="E151" s="296"/>
      <c r="F151" s="297" t="s">
        <v>339</v>
      </c>
      <c r="G151" s="371">
        <f>G140</f>
        <v>405299240</v>
      </c>
      <c r="H151" s="299"/>
      <c r="I151" s="300"/>
      <c r="J151" s="300"/>
      <c r="K151" s="300"/>
      <c r="L151" s="300"/>
      <c r="M151" s="300"/>
      <c r="N151" s="301"/>
      <c r="O151" s="302">
        <f>G151*$O$2</f>
        <v>405299240</v>
      </c>
      <c r="P151" s="303"/>
      <c r="Q151" s="303"/>
      <c r="R151" s="303"/>
      <c r="S151" s="303"/>
      <c r="T151" s="303"/>
      <c r="U151" s="303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304"/>
      <c r="AG151" s="45"/>
      <c r="AH151" s="46"/>
      <c r="AI151" s="47"/>
      <c r="AJ151" s="47"/>
      <c r="AK151" s="47"/>
      <c r="AL151" s="48"/>
      <c r="AM151" s="49"/>
      <c r="AP151" s="372"/>
      <c r="AQ151" s="373"/>
      <c r="AR151" s="373"/>
      <c r="AS151" s="374" t="s">
        <v>339</v>
      </c>
      <c r="AT151" s="375">
        <f>AT140</f>
        <v>0</v>
      </c>
      <c r="AV151" s="85"/>
      <c r="AW151" s="412"/>
      <c r="AX151" s="412"/>
      <c r="AY151" s="418"/>
    </row>
    <row r="152" spans="1:51" s="84" customFormat="1" x14ac:dyDescent="0.25">
      <c r="A152" s="293" t="s">
        <v>356</v>
      </c>
      <c r="B152" s="26"/>
      <c r="C152" s="309"/>
      <c r="D152" s="310"/>
      <c r="E152" s="311" t="s">
        <v>344</v>
      </c>
      <c r="F152" s="376">
        <v>0.19000000000000003</v>
      </c>
      <c r="G152" s="377">
        <f>ROUND(G151*F152,0)</f>
        <v>77006856</v>
      </c>
      <c r="H152" s="314"/>
      <c r="I152" s="315"/>
      <c r="J152" s="315"/>
      <c r="K152" s="315"/>
      <c r="L152" s="315"/>
      <c r="M152" s="315"/>
      <c r="N152" s="316"/>
      <c r="O152" s="317">
        <f>G152*$O$2</f>
        <v>77006856</v>
      </c>
      <c r="P152" s="318"/>
      <c r="Q152" s="318"/>
      <c r="R152" s="318"/>
      <c r="S152" s="318"/>
      <c r="T152" s="318"/>
      <c r="U152" s="318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304"/>
      <c r="AG152" s="45"/>
      <c r="AH152" s="46"/>
      <c r="AI152" s="47"/>
      <c r="AJ152" s="47"/>
      <c r="AK152" s="47"/>
      <c r="AL152" s="48"/>
      <c r="AM152" s="49"/>
      <c r="AP152" s="378"/>
      <c r="AQ152" s="379"/>
      <c r="AR152" s="380" t="s">
        <v>344</v>
      </c>
      <c r="AS152" s="381">
        <f>F152</f>
        <v>0.19000000000000003</v>
      </c>
      <c r="AT152" s="382">
        <f>ROUND(AT151*AS152,0)</f>
        <v>0</v>
      </c>
      <c r="AV152" s="85"/>
      <c r="AW152" s="412"/>
      <c r="AX152" s="412"/>
      <c r="AY152" s="418"/>
    </row>
    <row r="153" spans="1:51" s="84" customFormat="1" x14ac:dyDescent="0.25">
      <c r="A153" s="293" t="s">
        <v>357</v>
      </c>
      <c r="B153" s="26"/>
      <c r="C153" s="352"/>
      <c r="D153" s="353"/>
      <c r="E153" s="354"/>
      <c r="F153" s="355" t="s">
        <v>358</v>
      </c>
      <c r="G153" s="356">
        <f>G151+G152</f>
        <v>482306096</v>
      </c>
      <c r="H153" s="357"/>
      <c r="I153" s="359"/>
      <c r="J153" s="358"/>
      <c r="K153" s="359" t="e">
        <f>+#REF!+K151+#REF!</f>
        <v>#REF!</v>
      </c>
      <c r="L153" s="359" t="e">
        <f>+#REF!+L151+#REF!</f>
        <v>#REF!</v>
      </c>
      <c r="M153" s="359" t="e">
        <f>+#REF!+M151+#REF!</f>
        <v>#REF!</v>
      </c>
      <c r="N153" s="360"/>
      <c r="O153" s="361">
        <f>G153*$O$2</f>
        <v>482306096</v>
      </c>
      <c r="P153" s="345"/>
      <c r="Q153" s="345"/>
      <c r="R153" s="345"/>
      <c r="S153" s="345"/>
      <c r="T153" s="345"/>
      <c r="U153" s="345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304"/>
      <c r="AG153" s="45"/>
      <c r="AH153" s="46"/>
      <c r="AI153" s="47"/>
      <c r="AJ153" s="47"/>
      <c r="AK153" s="47"/>
      <c r="AL153" s="48"/>
      <c r="AM153" s="49"/>
      <c r="AP153" s="383"/>
      <c r="AQ153" s="384"/>
      <c r="AR153" s="384"/>
      <c r="AS153" s="385" t="s">
        <v>358</v>
      </c>
      <c r="AT153" s="386" t="e">
        <f>AT151+#REF!+#REF!</f>
        <v>#REF!</v>
      </c>
      <c r="AV153" s="85"/>
      <c r="AW153" s="412"/>
      <c r="AX153" s="412"/>
      <c r="AY153" s="418"/>
    </row>
    <row r="154" spans="1:51" s="84" customFormat="1" x14ac:dyDescent="0.25">
      <c r="A154" s="366"/>
      <c r="B154" s="26"/>
      <c r="C154" s="26"/>
      <c r="D154" s="26"/>
      <c r="E154" s="367"/>
      <c r="F154" s="368"/>
      <c r="G154" s="369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304"/>
      <c r="AG154" s="45"/>
      <c r="AH154" s="46"/>
      <c r="AI154" s="47"/>
      <c r="AJ154" s="47"/>
      <c r="AK154" s="47"/>
      <c r="AL154" s="48"/>
      <c r="AM154" s="49"/>
      <c r="AV154" s="85"/>
      <c r="AW154" s="412"/>
      <c r="AX154" s="412"/>
      <c r="AY154" s="418"/>
    </row>
    <row r="155" spans="1:51" x14ac:dyDescent="0.25">
      <c r="A155" s="387"/>
      <c r="C155" s="352"/>
      <c r="D155" s="353"/>
      <c r="E155" s="354"/>
      <c r="F155" s="355" t="s">
        <v>359</v>
      </c>
      <c r="G155" s="356">
        <f>+G153+G148</f>
        <v>2871109732</v>
      </c>
      <c r="AF155" s="388"/>
      <c r="AG155" s="45"/>
      <c r="AH155" s="46"/>
      <c r="AI155" s="47"/>
      <c r="AJ155" s="47"/>
      <c r="AK155" s="47"/>
      <c r="AL155" s="48"/>
      <c r="AM155" s="49"/>
      <c r="AV155" s="56"/>
      <c r="AY155" s="419">
        <f>SUM(AY15:AY153)</f>
        <v>2871213590</v>
      </c>
    </row>
    <row r="156" spans="1:51" x14ac:dyDescent="0.25">
      <c r="A156" s="387"/>
      <c r="G156" s="356">
        <v>2871109732</v>
      </c>
      <c r="AF156" s="388"/>
      <c r="AG156" s="45"/>
      <c r="AH156" s="46"/>
      <c r="AI156" s="47"/>
      <c r="AJ156" s="47"/>
      <c r="AK156" s="47"/>
      <c r="AL156" s="48"/>
      <c r="AM156" s="49"/>
      <c r="AV156" s="56"/>
      <c r="AY156" s="419">
        <f>+AY155-G155</f>
        <v>103858</v>
      </c>
    </row>
    <row r="157" spans="1:51" s="84" customFormat="1" x14ac:dyDescent="0.25">
      <c r="A157" s="387"/>
      <c r="B157" s="26"/>
      <c r="C157" s="26"/>
      <c r="D157" s="26"/>
      <c r="E157" s="367"/>
      <c r="F157" s="391"/>
      <c r="G157" s="392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304"/>
      <c r="AG157" s="45"/>
      <c r="AH157" s="46"/>
      <c r="AI157" s="47"/>
      <c r="AJ157" s="47"/>
      <c r="AK157" s="47"/>
      <c r="AL157" s="48"/>
      <c r="AM157" s="49"/>
      <c r="AV157" s="85"/>
      <c r="AW157" s="412"/>
      <c r="AX157" s="412"/>
      <c r="AY157" s="418"/>
    </row>
    <row r="158" spans="1:51" s="84" customFormat="1" x14ac:dyDescent="0.25">
      <c r="A158" s="387"/>
      <c r="B158" s="26"/>
      <c r="C158" s="26"/>
      <c r="D158" s="26"/>
      <c r="E158" s="367"/>
      <c r="F158" s="391"/>
      <c r="G158" s="392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304"/>
      <c r="AG158" s="45"/>
      <c r="AH158" s="46"/>
      <c r="AI158" s="47"/>
      <c r="AJ158" s="47"/>
      <c r="AK158" s="47"/>
      <c r="AL158" s="48"/>
      <c r="AM158" s="49"/>
      <c r="AV158" s="85"/>
      <c r="AW158" s="412"/>
      <c r="AX158" s="412"/>
      <c r="AY158" s="418"/>
    </row>
    <row r="159" spans="1:51" s="84" customFormat="1" x14ac:dyDescent="0.25">
      <c r="A159" s="387"/>
      <c r="B159" s="26"/>
      <c r="C159" s="26"/>
      <c r="D159" s="270"/>
      <c r="E159" s="125"/>
      <c r="F159" s="393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304"/>
      <c r="AG159" s="45"/>
      <c r="AH159" s="46"/>
      <c r="AI159" s="47"/>
      <c r="AJ159" s="47"/>
      <c r="AK159" s="47"/>
      <c r="AL159" s="48"/>
      <c r="AM159" s="49"/>
      <c r="AV159" s="85"/>
      <c r="AW159" s="412"/>
      <c r="AX159" s="412"/>
      <c r="AY159" s="418"/>
    </row>
    <row r="160" spans="1:51" s="84" customFormat="1" x14ac:dyDescent="0.25">
      <c r="A160" s="387"/>
      <c r="B160" s="26"/>
      <c r="C160" s="394"/>
      <c r="D160" s="270"/>
      <c r="E160" s="125"/>
      <c r="F160" s="393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304"/>
      <c r="AG160" s="45"/>
      <c r="AH160" s="46"/>
      <c r="AI160" s="47"/>
      <c r="AJ160" s="47"/>
      <c r="AK160" s="47"/>
      <c r="AL160" s="48"/>
      <c r="AM160" s="49"/>
      <c r="AV160" s="85"/>
      <c r="AW160" s="412"/>
      <c r="AX160" s="412"/>
      <c r="AY160" s="418"/>
    </row>
    <row r="161" spans="1:51" s="84" customFormat="1" x14ac:dyDescent="0.25">
      <c r="A161" s="387"/>
      <c r="B161" s="26"/>
      <c r="C161" s="394"/>
      <c r="D161" s="270"/>
      <c r="E161" s="125"/>
      <c r="F161" s="393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304"/>
      <c r="AG161" s="45"/>
      <c r="AH161" s="46"/>
      <c r="AI161" s="47"/>
      <c r="AJ161" s="47"/>
      <c r="AK161" s="47"/>
      <c r="AL161" s="48"/>
      <c r="AM161" s="49"/>
      <c r="AV161" s="85"/>
      <c r="AW161" s="412"/>
      <c r="AX161" s="412"/>
      <c r="AY161" s="418"/>
    </row>
    <row r="162" spans="1:51" s="84" customFormat="1" x14ac:dyDescent="0.25">
      <c r="A162" s="387"/>
      <c r="B162" s="395"/>
      <c r="C162" s="395"/>
      <c r="D162" s="26"/>
      <c r="E162" s="367"/>
      <c r="F162" s="391"/>
      <c r="G162" s="392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304"/>
      <c r="AG162" s="45"/>
      <c r="AH162" s="46"/>
      <c r="AI162" s="47"/>
      <c r="AJ162" s="47"/>
      <c r="AK162" s="47"/>
      <c r="AL162" s="48"/>
      <c r="AM162" s="49"/>
      <c r="AV162" s="85"/>
      <c r="AW162" s="412"/>
      <c r="AX162" s="412"/>
      <c r="AY162" s="418"/>
    </row>
    <row r="163" spans="1:51" s="84" customFormat="1" ht="15.75" thickBot="1" x14ac:dyDescent="0.3">
      <c r="A163" s="396"/>
      <c r="B163" s="397" t="s">
        <v>360</v>
      </c>
      <c r="D163" s="26"/>
      <c r="E163" s="367"/>
      <c r="F163" s="391"/>
      <c r="G163" s="392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398"/>
      <c r="AG163" s="45"/>
      <c r="AH163" s="46"/>
      <c r="AI163" s="47"/>
      <c r="AJ163" s="47"/>
      <c r="AK163" s="47"/>
      <c r="AL163" s="48"/>
      <c r="AM163" s="49"/>
      <c r="AU163" s="399"/>
      <c r="AV163" s="85"/>
      <c r="AW163" s="412"/>
      <c r="AX163" s="412"/>
      <c r="AY163" s="418"/>
    </row>
    <row r="164" spans="1:51" ht="15.75" thickTop="1" x14ac:dyDescent="0.25">
      <c r="B164" s="400" t="s">
        <v>361</v>
      </c>
      <c r="C164" s="26"/>
    </row>
    <row r="165" spans="1:51" x14ac:dyDescent="0.25">
      <c r="B165" s="401" t="s">
        <v>362</v>
      </c>
    </row>
    <row r="166" spans="1:51" x14ac:dyDescent="0.25">
      <c r="B166" s="401" t="s">
        <v>363</v>
      </c>
    </row>
  </sheetData>
  <mergeCells count="11">
    <mergeCell ref="AP142:AS142"/>
    <mergeCell ref="AP150:AS150"/>
    <mergeCell ref="E7:G7"/>
    <mergeCell ref="E8:G8"/>
    <mergeCell ref="F1:F2"/>
    <mergeCell ref="Q1:U2"/>
    <mergeCell ref="BA1:BA2"/>
    <mergeCell ref="B7:D8"/>
    <mergeCell ref="B9:B10"/>
    <mergeCell ref="C9:E10"/>
    <mergeCell ref="Q10:U10"/>
  </mergeCells>
  <conditionalFormatting sqref="B9">
    <cfRule type="cellIs" dxfId="136" priority="72" stopIfTrue="1" operator="equal">
      <formula>"ESCRIBA AQUÍ EL NOMBRE DE LA OBRA"</formula>
    </cfRule>
  </conditionalFormatting>
  <conditionalFormatting sqref="P2:P6 AF2:AF6">
    <cfRule type="cellIs" dxfId="135" priority="73" stopIfTrue="1" operator="equal">
      <formula>"ESCRIBA AQUÍ EL NOMBRE DE LA OBRA"</formula>
    </cfRule>
  </conditionalFormatting>
  <conditionalFormatting sqref="G1:Q1">
    <cfRule type="cellIs" dxfId="134" priority="74" stopIfTrue="1" operator="equal">
      <formula>"CHEQ. INSUMOS"</formula>
    </cfRule>
  </conditionalFormatting>
  <conditionalFormatting sqref="G2:P6">
    <cfRule type="cellIs" dxfId="133" priority="75" stopIfTrue="1" operator="equal">
      <formula>"CHEQ. INSUMOS"</formula>
    </cfRule>
  </conditionalFormatting>
  <conditionalFormatting sqref="V2:AE6">
    <cfRule type="cellIs" dxfId="132" priority="71" stopIfTrue="1" operator="equal">
      <formula>"ESCRIBA AQUÍ EL NOMBRE DE LA OBRA"</formula>
    </cfRule>
  </conditionalFormatting>
  <conditionalFormatting sqref="G153:I153 K153:O153">
    <cfRule type="expression" dxfId="131" priority="67" stopIfTrue="1">
      <formula>"&gt;G29"</formula>
    </cfRule>
    <cfRule type="expression" dxfId="130" priority="68" stopIfTrue="1">
      <formula>"&lt;G29"""</formula>
    </cfRule>
  </conditionalFormatting>
  <conditionalFormatting sqref="G154">
    <cfRule type="cellIs" dxfId="129" priority="69" stopIfTrue="1" operator="notEqual">
      <formula>0</formula>
    </cfRule>
    <cfRule type="cellIs" dxfId="128" priority="70" stopIfTrue="1" operator="equal">
      <formula>0</formula>
    </cfRule>
  </conditionalFormatting>
  <conditionalFormatting sqref="G148:I148 K148:O148">
    <cfRule type="expression" dxfId="127" priority="63" stopIfTrue="1">
      <formula>"&gt;G29"</formula>
    </cfRule>
    <cfRule type="expression" dxfId="126" priority="64" stopIfTrue="1">
      <formula>"&lt;G29"""</formula>
    </cfRule>
  </conditionalFormatting>
  <conditionalFormatting sqref="G149">
    <cfRule type="cellIs" dxfId="125" priority="65" stopIfTrue="1" operator="notEqual">
      <formula>0</formula>
    </cfRule>
    <cfRule type="cellIs" dxfId="124" priority="66" stopIfTrue="1" operator="equal">
      <formula>0</formula>
    </cfRule>
  </conditionalFormatting>
  <conditionalFormatting sqref="O139">
    <cfRule type="cellIs" dxfId="123" priority="62" stopIfTrue="1" operator="notEqual">
      <formula>0</formula>
    </cfRule>
  </conditionalFormatting>
  <conditionalFormatting sqref="O141">
    <cfRule type="cellIs" dxfId="122" priority="61" stopIfTrue="1" operator="notEqual">
      <formula>0</formula>
    </cfRule>
  </conditionalFormatting>
  <conditionalFormatting sqref="DP1 AQ48 AQ15:AQ16 AQ42:AQ43 AQ28 AQ20:AQ24 AQ55:AQ93 AQ97:AQ101">
    <cfRule type="cellIs" dxfId="121" priority="59" operator="lessThan">
      <formula>0</formula>
    </cfRule>
    <cfRule type="cellIs" dxfId="120" priority="60" operator="greaterThan">
      <formula>0</formula>
    </cfRule>
  </conditionalFormatting>
  <conditionalFormatting sqref="AT148">
    <cfRule type="expression" dxfId="119" priority="57" stopIfTrue="1">
      <formula>"&gt;G29"</formula>
    </cfRule>
    <cfRule type="expression" dxfId="118" priority="58" stopIfTrue="1">
      <formula>"&lt;G29"""</formula>
    </cfRule>
  </conditionalFormatting>
  <conditionalFormatting sqref="AT153">
    <cfRule type="expression" dxfId="117" priority="55" stopIfTrue="1">
      <formula>"&gt;G29"</formula>
    </cfRule>
    <cfRule type="expression" dxfId="116" priority="56" stopIfTrue="1">
      <formula>"&lt;G29"""</formula>
    </cfRule>
  </conditionalFormatting>
  <conditionalFormatting sqref="AT1">
    <cfRule type="cellIs" dxfId="115" priority="54" stopIfTrue="1" operator="equal">
      <formula>"CHEQ. INSUMOS"</formula>
    </cfRule>
  </conditionalFormatting>
  <conditionalFormatting sqref="P14:U14">
    <cfRule type="cellIs" dxfId="114" priority="51" stopIfTrue="1" operator="notEqual">
      <formula>0</formula>
    </cfRule>
  </conditionalFormatting>
  <conditionalFormatting sqref="V14">
    <cfRule type="cellIs" dxfId="113" priority="52" stopIfTrue="1" operator="notEqual">
      <formula>0</formula>
    </cfRule>
    <cfRule type="cellIs" dxfId="112" priority="53" stopIfTrue="1" operator="equal">
      <formula>0</formula>
    </cfRule>
  </conditionalFormatting>
  <conditionalFormatting sqref="B14:C14">
    <cfRule type="cellIs" dxfId="111" priority="50" operator="equal">
      <formula>"ESCRIBA AQUÍ EL NOMBRE DEL CAPITULO"</formula>
    </cfRule>
  </conditionalFormatting>
  <conditionalFormatting sqref="P19:U19">
    <cfRule type="cellIs" dxfId="110" priority="47" stopIfTrue="1" operator="notEqual">
      <formula>0</formula>
    </cfRule>
  </conditionalFormatting>
  <conditionalFormatting sqref="V19">
    <cfRule type="cellIs" dxfId="109" priority="48" stopIfTrue="1" operator="notEqual">
      <formula>0</formula>
    </cfRule>
    <cfRule type="cellIs" dxfId="108" priority="49" stopIfTrue="1" operator="equal">
      <formula>0</formula>
    </cfRule>
  </conditionalFormatting>
  <conditionalFormatting sqref="B19:C19">
    <cfRule type="cellIs" dxfId="107" priority="46" operator="equal">
      <formula>"ESCRIBA AQUÍ EL NOMBRE DEL CAPITULO"</formula>
    </cfRule>
  </conditionalFormatting>
  <conditionalFormatting sqref="P27:U27">
    <cfRule type="cellIs" dxfId="106" priority="43" stopIfTrue="1" operator="notEqual">
      <formula>0</formula>
    </cfRule>
  </conditionalFormatting>
  <conditionalFormatting sqref="V27">
    <cfRule type="cellIs" dxfId="105" priority="44" stopIfTrue="1" operator="notEqual">
      <formula>0</formula>
    </cfRule>
    <cfRule type="cellIs" dxfId="104" priority="45" stopIfTrue="1" operator="equal">
      <formula>0</formula>
    </cfRule>
  </conditionalFormatting>
  <conditionalFormatting sqref="B27:C27">
    <cfRule type="cellIs" dxfId="103" priority="42" operator="equal">
      <formula>"ESCRIBA AQUÍ EL NOMBRE DEL CAPITULO"</formula>
    </cfRule>
  </conditionalFormatting>
  <conditionalFormatting sqref="P41:U41">
    <cfRule type="cellIs" dxfId="102" priority="39" stopIfTrue="1" operator="notEqual">
      <formula>0</formula>
    </cfRule>
  </conditionalFormatting>
  <conditionalFormatting sqref="V41">
    <cfRule type="cellIs" dxfId="101" priority="40" stopIfTrue="1" operator="notEqual">
      <formula>0</formula>
    </cfRule>
    <cfRule type="cellIs" dxfId="100" priority="41" stopIfTrue="1" operator="equal">
      <formula>0</formula>
    </cfRule>
  </conditionalFormatting>
  <conditionalFormatting sqref="B41:C41">
    <cfRule type="cellIs" dxfId="99" priority="38" operator="equal">
      <formula>"ESCRIBA AQUÍ EL NOMBRE DEL CAPITULO"</formula>
    </cfRule>
  </conditionalFormatting>
  <conditionalFormatting sqref="P51:U54">
    <cfRule type="cellIs" dxfId="98" priority="35" stopIfTrue="1" operator="notEqual">
      <formula>0</formula>
    </cfRule>
  </conditionalFormatting>
  <conditionalFormatting sqref="V51:V54">
    <cfRule type="cellIs" dxfId="97" priority="36" stopIfTrue="1" operator="notEqual">
      <formula>0</formula>
    </cfRule>
    <cfRule type="cellIs" dxfId="96" priority="37" stopIfTrue="1" operator="equal">
      <formula>0</formula>
    </cfRule>
  </conditionalFormatting>
  <conditionalFormatting sqref="B51:C51">
    <cfRule type="cellIs" dxfId="95" priority="34" operator="equal">
      <formula>"ESCRIBA AQUÍ EL NOMBRE DEL CAPITULO"</formula>
    </cfRule>
  </conditionalFormatting>
  <conditionalFormatting sqref="P96:U96">
    <cfRule type="cellIs" dxfId="94" priority="31" stopIfTrue="1" operator="notEqual">
      <formula>0</formula>
    </cfRule>
  </conditionalFormatting>
  <conditionalFormatting sqref="V96">
    <cfRule type="cellIs" dxfId="93" priority="32" stopIfTrue="1" operator="notEqual">
      <formula>0</formula>
    </cfRule>
    <cfRule type="cellIs" dxfId="92" priority="33" stopIfTrue="1" operator="equal">
      <formula>0</formula>
    </cfRule>
  </conditionalFormatting>
  <conditionalFormatting sqref="B96:C96">
    <cfRule type="cellIs" dxfId="91" priority="30" operator="equal">
      <formula>"ESCRIBA AQUÍ EL NOMBRE DEL CAPITULO"</formula>
    </cfRule>
  </conditionalFormatting>
  <conditionalFormatting sqref="P104:U104">
    <cfRule type="cellIs" dxfId="90" priority="27" stopIfTrue="1" operator="notEqual">
      <formula>0</formula>
    </cfRule>
  </conditionalFormatting>
  <conditionalFormatting sqref="V104">
    <cfRule type="cellIs" dxfId="89" priority="28" stopIfTrue="1" operator="notEqual">
      <formula>0</formula>
    </cfRule>
    <cfRule type="cellIs" dxfId="88" priority="29" stopIfTrue="1" operator="equal">
      <formula>0</formula>
    </cfRule>
  </conditionalFormatting>
  <conditionalFormatting sqref="B104:C104">
    <cfRule type="cellIs" dxfId="87" priority="26" operator="equal">
      <formula>"ESCRIBA AQUÍ EL NOMBRE DEL CAPITULO"</formula>
    </cfRule>
  </conditionalFormatting>
  <conditionalFormatting sqref="P115:U115">
    <cfRule type="cellIs" dxfId="86" priority="23" stopIfTrue="1" operator="notEqual">
      <formula>0</formula>
    </cfRule>
  </conditionalFormatting>
  <conditionalFormatting sqref="V115">
    <cfRule type="cellIs" dxfId="85" priority="24" stopIfTrue="1" operator="notEqual">
      <formula>0</formula>
    </cfRule>
    <cfRule type="cellIs" dxfId="84" priority="25" stopIfTrue="1" operator="equal">
      <formula>0</formula>
    </cfRule>
  </conditionalFormatting>
  <conditionalFormatting sqref="B115:C115">
    <cfRule type="cellIs" dxfId="83" priority="22" operator="equal">
      <formula>"ESCRIBA AQUÍ EL NOMBRE DEL CAPITULO"</formula>
    </cfRule>
  </conditionalFormatting>
  <conditionalFormatting sqref="AQ31:AQ38">
    <cfRule type="cellIs" dxfId="82" priority="20" operator="lessThan">
      <formula>0</formula>
    </cfRule>
    <cfRule type="cellIs" dxfId="81" priority="21" operator="greaterThan">
      <formula>0</formula>
    </cfRule>
  </conditionalFormatting>
  <conditionalFormatting sqref="AQ105:AQ112">
    <cfRule type="cellIs" dxfId="80" priority="18" operator="lessThan">
      <formula>0</formula>
    </cfRule>
    <cfRule type="cellIs" dxfId="79" priority="19" operator="greaterThan">
      <formula>0</formula>
    </cfRule>
  </conditionalFormatting>
  <conditionalFormatting sqref="AQ116">
    <cfRule type="cellIs" dxfId="78" priority="16" operator="lessThan">
      <formula>0</formula>
    </cfRule>
    <cfRule type="cellIs" dxfId="77" priority="17" operator="greaterThan">
      <formula>0</formula>
    </cfRule>
  </conditionalFormatting>
  <conditionalFormatting sqref="AQ29:AQ30">
    <cfRule type="cellIs" dxfId="76" priority="14" operator="lessThan">
      <formula>0</formula>
    </cfRule>
    <cfRule type="cellIs" dxfId="75" priority="15" operator="greaterThan">
      <formula>0</formula>
    </cfRule>
  </conditionalFormatting>
  <conditionalFormatting sqref="AQ44">
    <cfRule type="cellIs" dxfId="74" priority="12" operator="lessThan">
      <formula>0</formula>
    </cfRule>
    <cfRule type="cellIs" dxfId="73" priority="13" operator="greaterThan">
      <formula>0</formula>
    </cfRule>
  </conditionalFormatting>
  <conditionalFormatting sqref="AQ45">
    <cfRule type="cellIs" dxfId="72" priority="10" operator="lessThan">
      <formula>0</formula>
    </cfRule>
    <cfRule type="cellIs" dxfId="71" priority="11" operator="greaterThan">
      <formula>0</formula>
    </cfRule>
  </conditionalFormatting>
  <conditionalFormatting sqref="AQ46:AQ47">
    <cfRule type="cellIs" dxfId="70" priority="8" operator="lessThan">
      <formula>0</formula>
    </cfRule>
    <cfRule type="cellIs" dxfId="69" priority="9" operator="greaterThan">
      <formula>0</formula>
    </cfRule>
  </conditionalFormatting>
  <conditionalFormatting sqref="B122:C122">
    <cfRule type="cellIs" dxfId="68" priority="7" operator="equal">
      <formula>"ESCRIBA AQUÍ EL NOMBRE DEL CAPITULO"</formula>
    </cfRule>
  </conditionalFormatting>
  <conditionalFormatting sqref="B129:C129">
    <cfRule type="cellIs" dxfId="67" priority="6" operator="equal">
      <formula>"ESCRIBA AQUÍ EL NOMBRE DEL CAPITULO"</formula>
    </cfRule>
  </conditionalFormatting>
  <conditionalFormatting sqref="G155">
    <cfRule type="expression" dxfId="66" priority="4" stopIfTrue="1">
      <formula>"&gt;G29"</formula>
    </cfRule>
    <cfRule type="expression" dxfId="65" priority="5" stopIfTrue="1">
      <formula>"&lt;G29"""</formula>
    </cfRule>
  </conditionalFormatting>
  <conditionalFormatting sqref="G1:G6 G9:G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6">
    <cfRule type="expression" dxfId="64" priority="1" stopIfTrue="1">
      <formula>"&gt;G29"</formula>
    </cfRule>
    <cfRule type="expression" dxfId="63" priority="2" stopIfTrue="1">
      <formula>"&lt;G29"""</formula>
    </cfRule>
  </conditionalFormatting>
  <pageMargins left="0.70866141732283472" right="0.70866141732283472" top="0.74803149606299213" bottom="0.74803149606299213" header="0.31496062992125984" footer="0.31496062992125984"/>
  <pageSetup scale="4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6"/>
  <sheetViews>
    <sheetView showGridLines="0" view="pageBreakPreview" topLeftCell="B7" zoomScale="70" zoomScaleNormal="100" zoomScaleSheetLayoutView="70" workbookViewId="0">
      <selection activeCell="H37" sqref="H37"/>
    </sheetView>
  </sheetViews>
  <sheetFormatPr baseColWidth="10" defaultColWidth="11.42578125" defaultRowHeight="15" x14ac:dyDescent="0.25"/>
  <cols>
    <col min="1" max="2" width="9.5703125" customWidth="1"/>
    <col min="3" max="3" width="52" customWidth="1"/>
    <col min="4" max="4" width="7.5703125" customWidth="1"/>
    <col min="5" max="5" width="12.7109375" style="389" customWidth="1"/>
    <col min="6" max="6" width="14.5703125" style="390" customWidth="1"/>
    <col min="7" max="7" width="21.42578125" bestFit="1" customWidth="1"/>
    <col min="8" max="8" width="18.5703125" customWidth="1"/>
    <col min="9" max="9" width="14.42578125" bestFit="1" customWidth="1"/>
    <col min="10" max="10" width="15.140625" style="413" bestFit="1" customWidth="1"/>
    <col min="11" max="11" width="22.140625" customWidth="1"/>
    <col min="12" max="12" width="21" customWidth="1"/>
    <col min="13" max="13" width="21.42578125" customWidth="1"/>
    <col min="14" max="14" width="18.5703125" bestFit="1" customWidth="1"/>
    <col min="58" max="60" width="0" hidden="1" customWidth="1"/>
  </cols>
  <sheetData>
    <row r="1" spans="1:73" s="26" customFormat="1" ht="12.2" hidden="1" customHeight="1" thickTop="1" x14ac:dyDescent="0.3">
      <c r="A1" s="1" t="s">
        <v>0</v>
      </c>
      <c r="B1" s="2" t="s">
        <v>1</v>
      </c>
      <c r="C1" s="3"/>
      <c r="D1" s="4"/>
      <c r="E1" s="5" t="s">
        <v>2</v>
      </c>
      <c r="F1" s="647" t="e">
        <f>"Duración  Obra    " &amp;#REF! &amp; " Días"</f>
        <v>#REF!</v>
      </c>
      <c r="G1" s="6" t="e">
        <f>#REF!</f>
        <v>#REF!</v>
      </c>
      <c r="H1" s="422"/>
      <c r="J1" s="411"/>
      <c r="Z1" s="27"/>
      <c r="AA1" s="28"/>
      <c r="AB1" s="29"/>
      <c r="AC1" s="30"/>
      <c r="AD1" s="31"/>
      <c r="AE1" s="32">
        <f>IF($A$2="CD",AG1,IF($A$2="CT",AH1,"Correg CT"))</f>
        <v>0</v>
      </c>
      <c r="AF1" s="33" t="e">
        <f>ROUND(AD1 * AE1,#REF!)</f>
        <v>#REF!</v>
      </c>
      <c r="AG1" s="34"/>
      <c r="AH1" s="35"/>
      <c r="AI1" s="32">
        <v>1</v>
      </c>
      <c r="AJ1" s="32"/>
      <c r="AK1" s="36" t="e">
        <f>ROUND(AH1 * AD1,#REF!)</f>
        <v>#REF!</v>
      </c>
      <c r="AL1" s="37" t="e">
        <f>ROUND(AG1 * AD1,#REF!)</f>
        <v>#REF!</v>
      </c>
      <c r="AM1" s="38" t="e">
        <f>AF1*#REF!</f>
        <v>#REF!</v>
      </c>
      <c r="AN1" s="39"/>
      <c r="AO1" s="40"/>
      <c r="AP1" s="41"/>
      <c r="AQ1" s="41"/>
      <c r="AR1" s="42"/>
      <c r="AS1" s="43">
        <f>AO1+AP1+AQ1+AR1</f>
        <v>0</v>
      </c>
      <c r="AT1" s="44"/>
      <c r="AV1"/>
      <c r="AW1"/>
      <c r="AX1"/>
      <c r="AY1"/>
      <c r="AZ1"/>
      <c r="BA1"/>
      <c r="BB1"/>
      <c r="BC1"/>
      <c r="BD1"/>
      <c r="BE1" s="45"/>
      <c r="BF1" s="46" t="e">
        <f>"CAP. " &amp;#REF! &amp; ": " &amp;#REF!</f>
        <v>#REF!</v>
      </c>
      <c r="BG1" s="47" t="e">
        <f>ROW(#REF!)</f>
        <v>#REF!</v>
      </c>
      <c r="BH1" s="47"/>
      <c r="BI1" s="47"/>
      <c r="BJ1" s="48"/>
      <c r="BK1" s="49"/>
      <c r="BL1"/>
      <c r="BM1"/>
      <c r="BN1" s="50">
        <f>AD1</f>
        <v>0</v>
      </c>
      <c r="BO1" s="51"/>
      <c r="BP1" s="52">
        <f>BN1+BO1</f>
        <v>0</v>
      </c>
      <c r="BQ1" s="53">
        <f>AE1</f>
        <v>0</v>
      </c>
      <c r="BR1" s="54" t="e">
        <f>ROUND(BP1 * BQ1,#REF!)</f>
        <v>#REF!</v>
      </c>
      <c r="BS1" s="55"/>
      <c r="BT1" s="56"/>
      <c r="BU1"/>
    </row>
    <row r="2" spans="1:73" s="26" customFormat="1" ht="12.2" hidden="1" customHeight="1" thickBot="1" x14ac:dyDescent="0.3">
      <c r="A2" s="1" t="s">
        <v>8</v>
      </c>
      <c r="B2" s="57" t="str">
        <f>IF($A$2="CD","CD",IF($A$2="CT","CT",""))</f>
        <v>CD</v>
      </c>
      <c r="C2" s="58"/>
      <c r="D2" s="59"/>
      <c r="E2" s="60"/>
      <c r="F2" s="647"/>
      <c r="G2" s="61" t="str">
        <f>IF([3]INSUMOS!J2=1,"CHEQ. INSUMOS","Insumos ok.")</f>
        <v>Insumos ok.</v>
      </c>
      <c r="H2" s="423"/>
      <c r="J2" s="411"/>
      <c r="Z2" s="70" t="s">
        <v>22</v>
      </c>
      <c r="AA2" s="70" t="s">
        <v>23</v>
      </c>
      <c r="AB2" s="70" t="s">
        <v>24</v>
      </c>
      <c r="AC2" s="70" t="s">
        <v>25</v>
      </c>
      <c r="AD2" s="70" t="s">
        <v>26</v>
      </c>
      <c r="AE2" s="70" t="s">
        <v>27</v>
      </c>
      <c r="AF2" s="70" t="s">
        <v>28</v>
      </c>
      <c r="AG2" s="70" t="s">
        <v>29</v>
      </c>
      <c r="AH2" s="70" t="s">
        <v>30</v>
      </c>
      <c r="AI2" s="70" t="s">
        <v>31</v>
      </c>
      <c r="AJ2" s="70" t="s">
        <v>32</v>
      </c>
      <c r="AK2" s="70" t="s">
        <v>33</v>
      </c>
      <c r="AL2" s="70" t="s">
        <v>34</v>
      </c>
      <c r="AM2" s="70" t="s">
        <v>35</v>
      </c>
      <c r="AN2" s="70" t="s">
        <v>36</v>
      </c>
      <c r="AO2" s="70" t="s">
        <v>37</v>
      </c>
      <c r="AP2" s="70" t="s">
        <v>38</v>
      </c>
      <c r="AQ2" s="70" t="s">
        <v>39</v>
      </c>
      <c r="AR2" s="70" t="s">
        <v>40</v>
      </c>
      <c r="AS2" s="70" t="s">
        <v>41</v>
      </c>
      <c r="AT2" s="70" t="s">
        <v>42</v>
      </c>
      <c r="AU2" s="70" t="s">
        <v>43</v>
      </c>
      <c r="AV2" s="70" t="s">
        <v>44</v>
      </c>
      <c r="AW2" s="70" t="s">
        <v>45</v>
      </c>
      <c r="AX2" s="70" t="s">
        <v>46</v>
      </c>
      <c r="AY2" s="70" t="s">
        <v>47</v>
      </c>
      <c r="AZ2" s="70" t="s">
        <v>48</v>
      </c>
      <c r="BA2" s="70" t="s">
        <v>49</v>
      </c>
      <c r="BB2" s="70" t="s">
        <v>50</v>
      </c>
      <c r="BC2" s="70" t="s">
        <v>51</v>
      </c>
      <c r="BD2" s="70" t="s">
        <v>52</v>
      </c>
      <c r="BE2" s="70" t="s">
        <v>53</v>
      </c>
      <c r="BF2" s="70" t="s">
        <v>54</v>
      </c>
      <c r="BG2" s="70" t="s">
        <v>55</v>
      </c>
      <c r="BH2" s="70" t="s">
        <v>56</v>
      </c>
      <c r="BI2" s="70" t="s">
        <v>57</v>
      </c>
      <c r="BJ2" s="70" t="s">
        <v>58</v>
      </c>
      <c r="BK2" s="70" t="s">
        <v>59</v>
      </c>
      <c r="BL2" s="70" t="s">
        <v>60</v>
      </c>
      <c r="BM2" s="70" t="s">
        <v>61</v>
      </c>
      <c r="BN2" s="70" t="s">
        <v>62</v>
      </c>
      <c r="BO2" s="70" t="s">
        <v>63</v>
      </c>
      <c r="BP2" s="70" t="s">
        <v>64</v>
      </c>
      <c r="BQ2" s="70" t="s">
        <v>65</v>
      </c>
      <c r="BR2" s="70" t="s">
        <v>66</v>
      </c>
      <c r="BS2" s="70" t="s">
        <v>67</v>
      </c>
      <c r="BT2" s="70" t="s">
        <v>68</v>
      </c>
    </row>
    <row r="3" spans="1:73" s="26" customFormat="1" ht="12.2" hidden="1" customHeight="1" thickTop="1" x14ac:dyDescent="0.3">
      <c r="A3" s="1"/>
      <c r="B3" s="57"/>
      <c r="C3" s="58"/>
      <c r="D3" s="59"/>
      <c r="E3" s="71"/>
      <c r="F3" s="72"/>
      <c r="G3" s="73"/>
      <c r="H3" s="73"/>
      <c r="J3" s="411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</row>
    <row r="4" spans="1:73" s="26" customFormat="1" ht="12.2" hidden="1" customHeight="1" x14ac:dyDescent="0.3">
      <c r="A4" s="1"/>
      <c r="B4" s="57"/>
      <c r="C4" s="58"/>
      <c r="D4" s="59"/>
      <c r="E4" s="71"/>
      <c r="F4" s="72"/>
      <c r="G4" s="73"/>
      <c r="H4" s="73"/>
      <c r="J4" s="411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</row>
    <row r="5" spans="1:73" s="26" customFormat="1" ht="12.2" hidden="1" customHeight="1" x14ac:dyDescent="0.3">
      <c r="A5" s="1"/>
      <c r="B5" s="57"/>
      <c r="C5" s="58"/>
      <c r="D5" s="59"/>
      <c r="E5" s="71"/>
      <c r="F5" s="72"/>
      <c r="G5" s="73"/>
      <c r="H5" s="73"/>
      <c r="J5" s="411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</row>
    <row r="6" spans="1:73" s="26" customFormat="1" ht="12.2" hidden="1" customHeight="1" thickBot="1" x14ac:dyDescent="0.3">
      <c r="A6" s="1"/>
      <c r="B6" s="57"/>
      <c r="C6" s="58"/>
      <c r="D6" s="59"/>
      <c r="E6" s="71"/>
      <c r="F6" s="72"/>
      <c r="G6" s="73"/>
      <c r="H6" s="73"/>
      <c r="J6" s="411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</row>
    <row r="7" spans="1:73" s="84" customFormat="1" ht="27.95" customHeight="1" x14ac:dyDescent="0.25">
      <c r="A7" s="80"/>
      <c r="B7" s="655" t="s">
        <v>377</v>
      </c>
      <c r="C7" s="655"/>
      <c r="D7" s="655"/>
      <c r="E7" s="655"/>
      <c r="F7" s="655"/>
      <c r="G7" s="655"/>
      <c r="H7" s="424"/>
      <c r="J7" s="412"/>
    </row>
    <row r="8" spans="1:73" s="84" customFormat="1" ht="15.6" customHeight="1" x14ac:dyDescent="0.25">
      <c r="A8" s="80"/>
      <c r="B8" s="655"/>
      <c r="C8" s="655"/>
      <c r="D8" s="655"/>
      <c r="E8" s="655"/>
      <c r="F8" s="655"/>
      <c r="G8" s="655"/>
      <c r="H8" s="424"/>
      <c r="J8" s="412"/>
    </row>
    <row r="9" spans="1:73" s="84" customFormat="1" ht="15" customHeight="1" x14ac:dyDescent="0.25">
      <c r="A9" s="80"/>
      <c r="B9" s="654" t="s">
        <v>379</v>
      </c>
      <c r="C9" s="656" t="s">
        <v>378</v>
      </c>
      <c r="D9" s="656"/>
      <c r="E9" s="656"/>
      <c r="F9" s="656"/>
      <c r="G9" s="656"/>
      <c r="H9" s="425"/>
      <c r="J9" s="412"/>
    </row>
    <row r="10" spans="1:73" s="84" customFormat="1" ht="21.2" customHeight="1" x14ac:dyDescent="0.25">
      <c r="A10" s="80"/>
      <c r="B10" s="654"/>
      <c r="C10" s="656"/>
      <c r="D10" s="656"/>
      <c r="E10" s="656"/>
      <c r="F10" s="656"/>
      <c r="G10" s="656"/>
      <c r="H10" s="426"/>
      <c r="J10" s="412"/>
    </row>
    <row r="11" spans="1:73" s="84" customFormat="1" ht="20.100000000000001" customHeight="1" x14ac:dyDescent="0.25">
      <c r="A11" s="80"/>
      <c r="B11" s="103"/>
      <c r="C11" s="104"/>
      <c r="D11" s="105"/>
      <c r="E11" s="106"/>
      <c r="F11" s="107"/>
      <c r="G11" s="108"/>
      <c r="H11" s="108"/>
      <c r="J11" s="412"/>
    </row>
    <row r="12" spans="1:73" s="84" customFormat="1" ht="15.75" customHeight="1" x14ac:dyDescent="0.25">
      <c r="A12" s="112" t="s">
        <v>87</v>
      </c>
      <c r="B12" s="113" t="s">
        <v>88</v>
      </c>
      <c r="C12" s="113" t="s">
        <v>89</v>
      </c>
      <c r="D12" s="113" t="s">
        <v>90</v>
      </c>
      <c r="E12" s="114" t="s">
        <v>91</v>
      </c>
      <c r="F12" s="115" t="s">
        <v>92</v>
      </c>
      <c r="G12" s="116" t="s">
        <v>372</v>
      </c>
      <c r="H12" s="427"/>
      <c r="I12" s="457" t="s">
        <v>373</v>
      </c>
      <c r="J12" s="458" t="s">
        <v>374</v>
      </c>
      <c r="K12" s="458" t="s">
        <v>375</v>
      </c>
      <c r="L12" s="458" t="s">
        <v>376</v>
      </c>
    </row>
    <row r="13" spans="1:73" ht="22.9" customHeight="1" thickBot="1" x14ac:dyDescent="0.3">
      <c r="A13" s="80"/>
      <c r="B13" s="122"/>
      <c r="C13" s="123"/>
      <c r="D13" s="124"/>
      <c r="E13" s="125"/>
      <c r="F13" s="126"/>
      <c r="G13" s="127"/>
      <c r="H13" s="127"/>
      <c r="I13" s="448"/>
      <c r="J13" s="449"/>
      <c r="K13" s="448"/>
      <c r="L13" s="448"/>
    </row>
    <row r="14" spans="1:73" x14ac:dyDescent="0.25">
      <c r="A14" s="128" t="s">
        <v>98</v>
      </c>
      <c r="B14" s="129">
        <v>1</v>
      </c>
      <c r="C14" s="130" t="s">
        <v>99</v>
      </c>
      <c r="D14" s="131"/>
      <c r="E14" s="132"/>
      <c r="F14" s="133"/>
      <c r="G14" s="134">
        <f>SUM(G15:G16)</f>
        <v>7851249</v>
      </c>
      <c r="H14" s="428"/>
      <c r="I14" s="448"/>
      <c r="J14" s="449"/>
      <c r="K14" s="448"/>
      <c r="L14" s="448"/>
    </row>
    <row r="15" spans="1:73" x14ac:dyDescent="0.25">
      <c r="A15" s="27" t="s">
        <v>101</v>
      </c>
      <c r="B15" s="28" t="s">
        <v>102</v>
      </c>
      <c r="C15" s="29" t="s">
        <v>103</v>
      </c>
      <c r="D15" s="30" t="s">
        <v>104</v>
      </c>
      <c r="E15" s="143">
        <v>4767</v>
      </c>
      <c r="F15" s="144">
        <v>1647</v>
      </c>
      <c r="G15" s="145">
        <f>F15*E15</f>
        <v>7851249</v>
      </c>
      <c r="H15" s="429"/>
      <c r="I15" s="450">
        <f>+F15</f>
        <v>1647</v>
      </c>
      <c r="J15" s="449">
        <v>2206.98</v>
      </c>
      <c r="K15" s="449">
        <f>+J15*E15</f>
        <v>10520673.66</v>
      </c>
      <c r="L15" s="449">
        <f>+I15*E15</f>
        <v>7851249</v>
      </c>
      <c r="M15" s="466">
        <f>ROUND(L15*1.34,0)</f>
        <v>10520674</v>
      </c>
      <c r="N15" s="421">
        <f t="shared" ref="N15:N78" si="0">K15-M15</f>
        <v>-0.33999999985098839</v>
      </c>
    </row>
    <row r="16" spans="1:73" x14ac:dyDescent="0.25">
      <c r="A16" s="146"/>
      <c r="B16" s="147"/>
      <c r="C16" s="29"/>
      <c r="D16" s="30"/>
      <c r="E16" s="148"/>
      <c r="F16" s="144"/>
      <c r="G16" s="33"/>
      <c r="H16" s="39"/>
      <c r="I16" s="450"/>
      <c r="J16" s="449"/>
      <c r="K16" s="448"/>
      <c r="L16" s="448"/>
      <c r="M16" s="466">
        <f t="shared" ref="M16:M79" si="1">ROUND(L16*1.34,0)</f>
        <v>0</v>
      </c>
      <c r="N16" s="421">
        <f t="shared" si="0"/>
        <v>0</v>
      </c>
    </row>
    <row r="17" spans="1:14" ht="15.75" thickBot="1" x14ac:dyDescent="0.3">
      <c r="A17" s="152" t="s">
        <v>105</v>
      </c>
      <c r="B17" s="153"/>
      <c r="C17" s="154"/>
      <c r="D17" s="155"/>
      <c r="E17" s="156"/>
      <c r="F17" s="157" t="s">
        <v>364</v>
      </c>
      <c r="G17" s="158">
        <f>SUM(G15:G16)</f>
        <v>7851249</v>
      </c>
      <c r="H17" s="430"/>
      <c r="I17" s="450"/>
      <c r="J17" s="449"/>
      <c r="K17" s="448"/>
      <c r="M17" s="466">
        <f t="shared" si="1"/>
        <v>0</v>
      </c>
      <c r="N17" s="421">
        <f t="shared" si="0"/>
        <v>0</v>
      </c>
    </row>
    <row r="18" spans="1:14" ht="27.6" customHeight="1" thickBot="1" x14ac:dyDescent="0.3">
      <c r="A18" s="80"/>
      <c r="B18" s="122"/>
      <c r="C18" s="123"/>
      <c r="D18" s="124"/>
      <c r="E18" s="164"/>
      <c r="F18" s="126"/>
      <c r="G18" s="127"/>
      <c r="H18" s="127"/>
      <c r="I18" s="450"/>
      <c r="J18" s="449"/>
      <c r="K18" s="448"/>
      <c r="L18" s="448"/>
      <c r="M18" s="466">
        <f t="shared" si="1"/>
        <v>0</v>
      </c>
      <c r="N18" s="421">
        <f t="shared" si="0"/>
        <v>0</v>
      </c>
    </row>
    <row r="19" spans="1:14" x14ac:dyDescent="0.25">
      <c r="A19" s="128" t="s">
        <v>98</v>
      </c>
      <c r="B19" s="129">
        <v>2</v>
      </c>
      <c r="C19" s="130" t="s">
        <v>106</v>
      </c>
      <c r="D19" s="131"/>
      <c r="E19" s="132"/>
      <c r="F19" s="133"/>
      <c r="G19" s="134">
        <f>SUM(G20:G24)</f>
        <v>178871039</v>
      </c>
      <c r="H19" s="428"/>
      <c r="I19" s="450"/>
      <c r="J19" s="449"/>
      <c r="K19" s="448"/>
      <c r="L19" s="448"/>
      <c r="M19" s="466">
        <f t="shared" si="1"/>
        <v>0</v>
      </c>
      <c r="N19" s="421">
        <f t="shared" si="0"/>
        <v>0</v>
      </c>
    </row>
    <row r="20" spans="1:14" x14ac:dyDescent="0.25">
      <c r="A20" s="27" t="s">
        <v>107</v>
      </c>
      <c r="B20" s="28" t="s">
        <v>108</v>
      </c>
      <c r="C20" s="29" t="s">
        <v>109</v>
      </c>
      <c r="D20" s="30" t="s">
        <v>104</v>
      </c>
      <c r="E20" s="143">
        <v>10384</v>
      </c>
      <c r="F20" s="144">
        <v>5667</v>
      </c>
      <c r="G20" s="145">
        <f>F20*E20</f>
        <v>58846128</v>
      </c>
      <c r="H20" s="429"/>
      <c r="I20" s="450">
        <f>+F20</f>
        <v>5667</v>
      </c>
      <c r="J20" s="449">
        <v>7593.7800000000007</v>
      </c>
      <c r="K20" s="449">
        <f>+J20*E20</f>
        <v>78853811.520000011</v>
      </c>
      <c r="L20" s="449">
        <f>+I20*E20</f>
        <v>58846128</v>
      </c>
      <c r="M20" s="466">
        <f t="shared" si="1"/>
        <v>78853812</v>
      </c>
      <c r="N20" s="421">
        <f t="shared" si="0"/>
        <v>-0.47999998927116394</v>
      </c>
    </row>
    <row r="21" spans="1:14" x14ac:dyDescent="0.25">
      <c r="A21" s="27" t="s">
        <v>110</v>
      </c>
      <c r="B21" s="28" t="s">
        <v>111</v>
      </c>
      <c r="C21" s="29" t="s">
        <v>112</v>
      </c>
      <c r="D21" s="30" t="s">
        <v>113</v>
      </c>
      <c r="E21" s="143">
        <v>4791.6000000000004</v>
      </c>
      <c r="F21" s="144">
        <v>21573</v>
      </c>
      <c r="G21" s="145">
        <f t="shared" ref="G21:G23" si="2">F21*E21</f>
        <v>103369186.80000001</v>
      </c>
      <c r="H21" s="429"/>
      <c r="I21" s="450">
        <f>+F21</f>
        <v>21573</v>
      </c>
      <c r="J21" s="449">
        <v>28907.820000000003</v>
      </c>
      <c r="K21" s="449">
        <f t="shared" ref="K21:K23" si="3">+J21*E21</f>
        <v>138514710.31200004</v>
      </c>
      <c r="L21" s="449">
        <f t="shared" ref="L21:L23" si="4">+I21*E21</f>
        <v>103369186.80000001</v>
      </c>
      <c r="M21" s="466">
        <f t="shared" si="1"/>
        <v>138514710</v>
      </c>
      <c r="N21" s="421">
        <f t="shared" si="0"/>
        <v>0.31200003623962402</v>
      </c>
    </row>
    <row r="22" spans="1:14" x14ac:dyDescent="0.25">
      <c r="A22" s="27" t="s">
        <v>114</v>
      </c>
      <c r="B22" s="28" t="s">
        <v>115</v>
      </c>
      <c r="C22" s="29" t="s">
        <v>116</v>
      </c>
      <c r="D22" s="30" t="s">
        <v>117</v>
      </c>
      <c r="E22" s="143">
        <v>5635.8</v>
      </c>
      <c r="F22" s="144">
        <v>2349</v>
      </c>
      <c r="G22" s="145">
        <f t="shared" si="2"/>
        <v>13238494.200000001</v>
      </c>
      <c r="H22" s="429"/>
      <c r="I22" s="450">
        <f>+F22</f>
        <v>2349</v>
      </c>
      <c r="J22" s="449">
        <v>3147.6600000000003</v>
      </c>
      <c r="K22" s="449">
        <f t="shared" si="3"/>
        <v>17739582.228000004</v>
      </c>
      <c r="L22" s="449">
        <f t="shared" si="4"/>
        <v>13238494.200000001</v>
      </c>
      <c r="M22" s="466">
        <f t="shared" si="1"/>
        <v>17739582</v>
      </c>
      <c r="N22" s="421">
        <f t="shared" si="0"/>
        <v>0.22800000384449959</v>
      </c>
    </row>
    <row r="23" spans="1:14" x14ac:dyDescent="0.25">
      <c r="A23" s="27" t="s">
        <v>118</v>
      </c>
      <c r="B23" s="28" t="s">
        <v>119</v>
      </c>
      <c r="C23" s="29" t="s">
        <v>120</v>
      </c>
      <c r="D23" s="30" t="s">
        <v>113</v>
      </c>
      <c r="E23" s="143">
        <v>710</v>
      </c>
      <c r="F23" s="144">
        <v>4813</v>
      </c>
      <c r="G23" s="145">
        <f t="shared" si="2"/>
        <v>3417230</v>
      </c>
      <c r="H23" s="429"/>
      <c r="I23" s="450">
        <f>+F23</f>
        <v>4813</v>
      </c>
      <c r="J23" s="449">
        <v>6449.42</v>
      </c>
      <c r="K23" s="449">
        <f t="shared" si="3"/>
        <v>4579088.2</v>
      </c>
      <c r="L23" s="449">
        <f t="shared" si="4"/>
        <v>3417230</v>
      </c>
      <c r="M23" s="466">
        <f t="shared" si="1"/>
        <v>4579088</v>
      </c>
      <c r="N23" s="421">
        <f t="shared" si="0"/>
        <v>0.20000000018626451</v>
      </c>
    </row>
    <row r="24" spans="1:14" x14ac:dyDescent="0.25">
      <c r="A24" s="146"/>
      <c r="B24" s="147"/>
      <c r="C24" s="29"/>
      <c r="D24" s="30"/>
      <c r="E24" s="148"/>
      <c r="F24" s="144"/>
      <c r="G24" s="33"/>
      <c r="H24" s="39"/>
      <c r="I24" s="450"/>
      <c r="J24" s="449"/>
      <c r="K24" s="448"/>
      <c r="L24" s="448"/>
      <c r="M24" s="466">
        <f t="shared" si="1"/>
        <v>0</v>
      </c>
      <c r="N24" s="421">
        <f t="shared" si="0"/>
        <v>0</v>
      </c>
    </row>
    <row r="25" spans="1:14" ht="15.75" thickBot="1" x14ac:dyDescent="0.3">
      <c r="A25" s="152" t="s">
        <v>105</v>
      </c>
      <c r="B25" s="153"/>
      <c r="C25" s="154"/>
      <c r="D25" s="155"/>
      <c r="E25" s="156"/>
      <c r="F25" s="157" t="s">
        <v>365</v>
      </c>
      <c r="G25" s="158">
        <f>SUM(G20:G24)</f>
        <v>178871039</v>
      </c>
      <c r="H25" s="430"/>
      <c r="I25" s="450"/>
      <c r="J25" s="449"/>
      <c r="K25" s="448"/>
      <c r="L25" s="448"/>
      <c r="M25" s="466">
        <f t="shared" si="1"/>
        <v>0</v>
      </c>
      <c r="N25" s="421">
        <f t="shared" si="0"/>
        <v>0</v>
      </c>
    </row>
    <row r="26" spans="1:14" ht="23.1" customHeight="1" thickBot="1" x14ac:dyDescent="0.3">
      <c r="A26" s="80"/>
      <c r="B26" s="122"/>
      <c r="C26" s="123"/>
      <c r="D26" s="124"/>
      <c r="E26" s="164"/>
      <c r="F26" s="126"/>
      <c r="G26" s="127"/>
      <c r="H26" s="127"/>
      <c r="I26" s="450"/>
      <c r="J26" s="449"/>
      <c r="K26" s="448"/>
      <c r="L26" s="448"/>
      <c r="M26" s="466">
        <f t="shared" si="1"/>
        <v>0</v>
      </c>
      <c r="N26" s="421">
        <f t="shared" si="0"/>
        <v>0</v>
      </c>
    </row>
    <row r="27" spans="1:14" x14ac:dyDescent="0.25">
      <c r="A27" s="128" t="s">
        <v>98</v>
      </c>
      <c r="B27" s="129">
        <v>3</v>
      </c>
      <c r="C27" s="130" t="s">
        <v>121</v>
      </c>
      <c r="D27" s="131"/>
      <c r="E27" s="132"/>
      <c r="F27" s="133"/>
      <c r="G27" s="134">
        <f>SUM(G28:G38)</f>
        <v>678505221.19638634</v>
      </c>
      <c r="H27" s="428"/>
      <c r="I27" s="450"/>
      <c r="J27" s="449"/>
      <c r="K27" s="448"/>
      <c r="L27" s="448"/>
      <c r="M27" s="466">
        <f t="shared" si="1"/>
        <v>0</v>
      </c>
      <c r="N27" s="421">
        <f t="shared" si="0"/>
        <v>0</v>
      </c>
    </row>
    <row r="28" spans="1:14" x14ac:dyDescent="0.25">
      <c r="A28" s="27" t="s">
        <v>122</v>
      </c>
      <c r="B28" s="28" t="s">
        <v>123</v>
      </c>
      <c r="C28" s="29" t="s">
        <v>124</v>
      </c>
      <c r="D28" s="30" t="s">
        <v>125</v>
      </c>
      <c r="E28" s="467">
        <v>5089.999968180281</v>
      </c>
      <c r="F28" s="144">
        <v>23453</v>
      </c>
      <c r="G28" s="145">
        <f t="shared" ref="G28:G37" si="5">F28*E28</f>
        <v>119375769.25373213</v>
      </c>
      <c r="H28" s="429"/>
      <c r="I28" s="450">
        <f t="shared" ref="I28:I37" si="6">+F28</f>
        <v>23453</v>
      </c>
      <c r="J28" s="449">
        <v>31427.02</v>
      </c>
      <c r="K28" s="449">
        <f>+J28*E28</f>
        <v>159963530.80000106</v>
      </c>
      <c r="L28" s="449">
        <f>+I28*E28</f>
        <v>119375769.25373213</v>
      </c>
      <c r="M28" s="466">
        <f t="shared" si="1"/>
        <v>159963531</v>
      </c>
      <c r="N28" s="421">
        <f t="shared" si="0"/>
        <v>-0.19999894499778748</v>
      </c>
    </row>
    <row r="29" spans="1:14" x14ac:dyDescent="0.25">
      <c r="A29" s="27" t="s">
        <v>126</v>
      </c>
      <c r="B29" s="28" t="s">
        <v>127</v>
      </c>
      <c r="C29" s="29" t="s">
        <v>128</v>
      </c>
      <c r="D29" s="30" t="s">
        <v>125</v>
      </c>
      <c r="E29" s="143">
        <v>2411.8352371743613</v>
      </c>
      <c r="F29" s="144">
        <v>29552</v>
      </c>
      <c r="G29" s="145">
        <f t="shared" si="5"/>
        <v>71274554.92897673</v>
      </c>
      <c r="H29" s="429"/>
      <c r="I29" s="450">
        <f t="shared" si="6"/>
        <v>29552</v>
      </c>
      <c r="J29" s="449">
        <v>39599.68</v>
      </c>
      <c r="K29" s="449">
        <f t="shared" ref="K29:K37" si="7">+J29*E29</f>
        <v>95507903.604828805</v>
      </c>
      <c r="L29" s="449">
        <f t="shared" ref="L29:L37" si="8">+I29*E29</f>
        <v>71274554.92897673</v>
      </c>
      <c r="M29" s="466">
        <f t="shared" si="1"/>
        <v>95507904</v>
      </c>
      <c r="N29" s="421">
        <f t="shared" si="0"/>
        <v>-0.39517119526863098</v>
      </c>
    </row>
    <row r="30" spans="1:14" x14ac:dyDescent="0.25">
      <c r="A30" s="27"/>
      <c r="B30" s="28" t="s">
        <v>129</v>
      </c>
      <c r="C30" s="29" t="s">
        <v>130</v>
      </c>
      <c r="D30" s="30" t="s">
        <v>125</v>
      </c>
      <c r="E30" s="143">
        <v>1851.8888197386159</v>
      </c>
      <c r="F30" s="144">
        <v>9514</v>
      </c>
      <c r="G30" s="145">
        <f t="shared" si="5"/>
        <v>17618870.230993193</v>
      </c>
      <c r="H30" s="429"/>
      <c r="I30" s="450">
        <f t="shared" si="6"/>
        <v>9514</v>
      </c>
      <c r="J30" s="449">
        <v>12748.76</v>
      </c>
      <c r="K30" s="449">
        <f t="shared" si="7"/>
        <v>23609286.109530877</v>
      </c>
      <c r="L30" s="449">
        <f t="shared" si="8"/>
        <v>17618870.230993193</v>
      </c>
      <c r="M30" s="466">
        <f t="shared" si="1"/>
        <v>23609286</v>
      </c>
      <c r="N30" s="421">
        <f t="shared" si="0"/>
        <v>0.10953087732195854</v>
      </c>
    </row>
    <row r="31" spans="1:14" x14ac:dyDescent="0.25">
      <c r="A31" s="27" t="s">
        <v>131</v>
      </c>
      <c r="B31" s="28" t="s">
        <v>132</v>
      </c>
      <c r="C31" s="29" t="s">
        <v>133</v>
      </c>
      <c r="D31" s="30" t="s">
        <v>125</v>
      </c>
      <c r="E31" s="143">
        <v>5020.307559738616</v>
      </c>
      <c r="F31" s="144">
        <v>19189</v>
      </c>
      <c r="G31" s="145">
        <f t="shared" si="5"/>
        <v>96334681.763824299</v>
      </c>
      <c r="H31" s="429"/>
      <c r="I31" s="450">
        <f t="shared" si="6"/>
        <v>19189</v>
      </c>
      <c r="J31" s="449">
        <v>25713.260000000002</v>
      </c>
      <c r="K31" s="449">
        <f t="shared" si="7"/>
        <v>129088473.56352457</v>
      </c>
      <c r="L31" s="449">
        <f t="shared" si="8"/>
        <v>96334681.763824299</v>
      </c>
      <c r="M31" s="466">
        <f t="shared" si="1"/>
        <v>129088474</v>
      </c>
      <c r="N31" s="421">
        <f t="shared" si="0"/>
        <v>-0.43647542595863342</v>
      </c>
    </row>
    <row r="32" spans="1:14" ht="19.149999999999999" customHeight="1" x14ac:dyDescent="0.25">
      <c r="A32" s="27" t="s">
        <v>134</v>
      </c>
      <c r="B32" s="28" t="s">
        <v>135</v>
      </c>
      <c r="C32" s="29" t="s">
        <v>136</v>
      </c>
      <c r="D32" s="30" t="s">
        <v>125</v>
      </c>
      <c r="E32" s="143">
        <v>819.99090000000001</v>
      </c>
      <c r="F32" s="144">
        <v>78845</v>
      </c>
      <c r="G32" s="145">
        <f t="shared" si="5"/>
        <v>64652182.510499999</v>
      </c>
      <c r="H32" s="429"/>
      <c r="I32" s="450">
        <f t="shared" si="6"/>
        <v>78845</v>
      </c>
      <c r="J32" s="449">
        <v>105652.3</v>
      </c>
      <c r="K32" s="449">
        <f t="shared" si="7"/>
        <v>86633924.564070001</v>
      </c>
      <c r="L32" s="449">
        <f t="shared" si="8"/>
        <v>64652182.510499999</v>
      </c>
      <c r="M32" s="466">
        <f t="shared" si="1"/>
        <v>86633925</v>
      </c>
      <c r="N32" s="421">
        <f t="shared" si="0"/>
        <v>-0.43592999875545502</v>
      </c>
    </row>
    <row r="33" spans="1:14" x14ac:dyDescent="0.25">
      <c r="A33" s="27" t="s">
        <v>137</v>
      </c>
      <c r="B33" s="28" t="s">
        <v>138</v>
      </c>
      <c r="C33" s="29" t="s">
        <v>139</v>
      </c>
      <c r="D33" s="30" t="s">
        <v>125</v>
      </c>
      <c r="E33" s="143">
        <v>1534.9818</v>
      </c>
      <c r="F33" s="144">
        <v>132153</v>
      </c>
      <c r="G33" s="145">
        <f t="shared" si="5"/>
        <v>202852449.8154</v>
      </c>
      <c r="H33" s="429"/>
      <c r="I33" s="450">
        <f t="shared" si="6"/>
        <v>132153</v>
      </c>
      <c r="J33" s="449">
        <v>177085.02000000002</v>
      </c>
      <c r="K33" s="449">
        <f t="shared" si="7"/>
        <v>271822282.75263602</v>
      </c>
      <c r="L33" s="449">
        <f t="shared" si="8"/>
        <v>202852449.8154</v>
      </c>
      <c r="M33" s="466">
        <f t="shared" si="1"/>
        <v>271822283</v>
      </c>
      <c r="N33" s="421">
        <f t="shared" si="0"/>
        <v>-0.24736398458480835</v>
      </c>
    </row>
    <row r="34" spans="1:14" x14ac:dyDescent="0.25">
      <c r="A34" s="27" t="s">
        <v>140</v>
      </c>
      <c r="B34" s="28" t="s">
        <v>141</v>
      </c>
      <c r="C34" s="29" t="str">
        <f>+C22</f>
        <v>CARGUE, RETIRO Y DISPOSICIÓN DE  ESCOMBROS A MAQUINA</v>
      </c>
      <c r="D34" s="30" t="str">
        <f>+D22</f>
        <v>M3-Km</v>
      </c>
      <c r="E34" s="143">
        <v>27936.332999999999</v>
      </c>
      <c r="F34" s="144">
        <v>2349</v>
      </c>
      <c r="G34" s="145">
        <f t="shared" si="5"/>
        <v>65622446.217</v>
      </c>
      <c r="H34" s="429"/>
      <c r="I34" s="450">
        <f t="shared" si="6"/>
        <v>2349</v>
      </c>
      <c r="J34" s="449">
        <v>3147.6600000000003</v>
      </c>
      <c r="K34" s="449">
        <f t="shared" si="7"/>
        <v>87934077.930780008</v>
      </c>
      <c r="L34" s="449">
        <f t="shared" si="8"/>
        <v>65622446.217</v>
      </c>
      <c r="M34" s="466">
        <f t="shared" si="1"/>
        <v>87934078</v>
      </c>
      <c r="N34" s="421">
        <f t="shared" si="0"/>
        <v>-6.9219991564750671E-2</v>
      </c>
    </row>
    <row r="35" spans="1:14" x14ac:dyDescent="0.25">
      <c r="A35" s="27" t="s">
        <v>142</v>
      </c>
      <c r="B35" s="28" t="s">
        <v>143</v>
      </c>
      <c r="C35" s="29" t="s">
        <v>144</v>
      </c>
      <c r="D35" s="30" t="s">
        <v>125</v>
      </c>
      <c r="E35" s="143">
        <v>546.660616</v>
      </c>
      <c r="F35" s="144">
        <v>50935</v>
      </c>
      <c r="G35" s="145">
        <f t="shared" si="5"/>
        <v>27844158.475960001</v>
      </c>
      <c r="H35" s="429"/>
      <c r="I35" s="450">
        <f t="shared" si="6"/>
        <v>50935</v>
      </c>
      <c r="J35" s="449">
        <v>68252.900000000009</v>
      </c>
      <c r="K35" s="449">
        <f t="shared" si="7"/>
        <v>37311172.357786402</v>
      </c>
      <c r="L35" s="449">
        <f t="shared" si="8"/>
        <v>27844158.475960001</v>
      </c>
      <c r="M35" s="466">
        <f t="shared" si="1"/>
        <v>37311172</v>
      </c>
      <c r="N35" s="421">
        <f t="shared" si="0"/>
        <v>0.3577864021062851</v>
      </c>
    </row>
    <row r="36" spans="1:14" x14ac:dyDescent="0.25">
      <c r="A36" s="27" t="s">
        <v>145</v>
      </c>
      <c r="B36" s="28" t="s">
        <v>146</v>
      </c>
      <c r="C36" s="29" t="s">
        <v>147</v>
      </c>
      <c r="D36" s="30" t="s">
        <v>104</v>
      </c>
      <c r="E36" s="143">
        <v>1420</v>
      </c>
      <c r="F36" s="144">
        <v>7281</v>
      </c>
      <c r="G36" s="145">
        <f t="shared" si="5"/>
        <v>10339020</v>
      </c>
      <c r="H36" s="429"/>
      <c r="I36" s="450">
        <f t="shared" si="6"/>
        <v>7281</v>
      </c>
      <c r="J36" s="449">
        <v>9756.5400000000009</v>
      </c>
      <c r="K36" s="449">
        <f t="shared" si="7"/>
        <v>13854286.800000001</v>
      </c>
      <c r="L36" s="449">
        <f t="shared" si="8"/>
        <v>10339020</v>
      </c>
      <c r="M36" s="466">
        <f t="shared" si="1"/>
        <v>13854287</v>
      </c>
      <c r="N36" s="421">
        <f t="shared" si="0"/>
        <v>-0.19999999925494194</v>
      </c>
    </row>
    <row r="37" spans="1:14" x14ac:dyDescent="0.25">
      <c r="A37" s="167"/>
      <c r="B37" s="28" t="s">
        <v>148</v>
      </c>
      <c r="C37" s="29" t="s">
        <v>149</v>
      </c>
      <c r="D37" s="30" t="s">
        <v>104</v>
      </c>
      <c r="E37" s="143">
        <v>24</v>
      </c>
      <c r="F37" s="144">
        <v>107962</v>
      </c>
      <c r="G37" s="145">
        <f t="shared" si="5"/>
        <v>2591088</v>
      </c>
      <c r="H37" s="429"/>
      <c r="I37" s="450">
        <f t="shared" si="6"/>
        <v>107962</v>
      </c>
      <c r="J37" s="449">
        <v>144669.08000000002</v>
      </c>
      <c r="K37" s="449">
        <f t="shared" si="7"/>
        <v>3472057.9200000004</v>
      </c>
      <c r="L37" s="449">
        <f t="shared" si="8"/>
        <v>2591088</v>
      </c>
      <c r="M37" s="466">
        <f t="shared" si="1"/>
        <v>3472058</v>
      </c>
      <c r="N37" s="421">
        <f t="shared" si="0"/>
        <v>-7.9999999608844519E-2</v>
      </c>
    </row>
    <row r="38" spans="1:14" x14ac:dyDescent="0.25">
      <c r="A38" s="146"/>
      <c r="B38" s="147"/>
      <c r="C38" s="29"/>
      <c r="D38" s="30"/>
      <c r="E38" s="148"/>
      <c r="F38" s="144"/>
      <c r="G38" s="33"/>
      <c r="H38" s="39"/>
      <c r="I38" s="450"/>
      <c r="J38" s="449"/>
      <c r="K38" s="448"/>
      <c r="L38" s="448"/>
      <c r="M38" s="466">
        <f t="shared" si="1"/>
        <v>0</v>
      </c>
      <c r="N38" s="421">
        <f t="shared" si="0"/>
        <v>0</v>
      </c>
    </row>
    <row r="39" spans="1:14" ht="15.75" thickBot="1" x14ac:dyDescent="0.3">
      <c r="A39" s="152" t="s">
        <v>105</v>
      </c>
      <c r="B39" s="153"/>
      <c r="C39" s="154"/>
      <c r="D39" s="155"/>
      <c r="E39" s="156"/>
      <c r="F39" s="157" t="s">
        <v>366</v>
      </c>
      <c r="G39" s="169">
        <f>SUM(G28:G38)</f>
        <v>678505221.19638634</v>
      </c>
      <c r="H39" s="431"/>
      <c r="I39" s="450"/>
      <c r="J39" s="449"/>
      <c r="K39" s="448"/>
      <c r="L39" s="448"/>
      <c r="M39" s="466">
        <f t="shared" si="1"/>
        <v>0</v>
      </c>
      <c r="N39" s="421">
        <f t="shared" si="0"/>
        <v>0</v>
      </c>
    </row>
    <row r="40" spans="1:14" ht="23.1" customHeight="1" thickBot="1" x14ac:dyDescent="0.3">
      <c r="A40" s="80"/>
      <c r="B40" s="122"/>
      <c r="C40" s="123"/>
      <c r="D40" s="124"/>
      <c r="E40" s="164"/>
      <c r="F40" s="126"/>
      <c r="G40" s="127"/>
      <c r="H40" s="127"/>
      <c r="I40" s="450"/>
      <c r="J40" s="449"/>
      <c r="K40" s="448"/>
      <c r="L40" s="448"/>
      <c r="M40" s="466">
        <f t="shared" si="1"/>
        <v>0</v>
      </c>
      <c r="N40" s="421">
        <f t="shared" si="0"/>
        <v>0</v>
      </c>
    </row>
    <row r="41" spans="1:14" x14ac:dyDescent="0.25">
      <c r="A41" s="128" t="s">
        <v>98</v>
      </c>
      <c r="B41" s="129">
        <v>4</v>
      </c>
      <c r="C41" s="130" t="s">
        <v>150</v>
      </c>
      <c r="D41" s="131"/>
      <c r="E41" s="132"/>
      <c r="F41" s="133"/>
      <c r="G41" s="142">
        <f>SUM(G42:G48)</f>
        <v>36919576.488600001</v>
      </c>
      <c r="H41" s="432"/>
      <c r="I41" s="450"/>
      <c r="J41" s="449"/>
      <c r="K41" s="448"/>
      <c r="L41" s="448"/>
      <c r="M41" s="466">
        <f t="shared" si="1"/>
        <v>0</v>
      </c>
      <c r="N41" s="421">
        <f t="shared" si="0"/>
        <v>0</v>
      </c>
    </row>
    <row r="42" spans="1:14" x14ac:dyDescent="0.25">
      <c r="A42" s="27" t="s">
        <v>151</v>
      </c>
      <c r="B42" s="28" t="s">
        <v>152</v>
      </c>
      <c r="C42" s="29" t="s">
        <v>153</v>
      </c>
      <c r="D42" s="30" t="s">
        <v>90</v>
      </c>
      <c r="E42" s="143">
        <v>15</v>
      </c>
      <c r="F42" s="144">
        <v>24505</v>
      </c>
      <c r="G42" s="145">
        <f t="shared" ref="G42:G47" si="9">F42*E42</f>
        <v>367575</v>
      </c>
      <c r="H42" s="429"/>
      <c r="I42" s="450">
        <f t="shared" ref="I42:I47" si="10">+F42</f>
        <v>24505</v>
      </c>
      <c r="J42" s="449">
        <v>32836.700000000004</v>
      </c>
      <c r="K42" s="449">
        <f t="shared" ref="K42:K47" si="11">+J42*E42</f>
        <v>492550.50000000006</v>
      </c>
      <c r="L42" s="449">
        <f t="shared" ref="L42:L46" si="12">+I42*E42</f>
        <v>367575</v>
      </c>
      <c r="M42" s="466">
        <f t="shared" si="1"/>
        <v>492551</v>
      </c>
      <c r="N42" s="421">
        <f t="shared" si="0"/>
        <v>-0.49999999994179234</v>
      </c>
    </row>
    <row r="43" spans="1:14" x14ac:dyDescent="0.25">
      <c r="A43" s="27" t="s">
        <v>154</v>
      </c>
      <c r="B43" s="28" t="s">
        <v>155</v>
      </c>
      <c r="C43" s="29" t="s">
        <v>156</v>
      </c>
      <c r="D43" s="30" t="s">
        <v>90</v>
      </c>
      <c r="E43" s="143">
        <v>1</v>
      </c>
      <c r="F43" s="144">
        <v>33970</v>
      </c>
      <c r="G43" s="145">
        <f t="shared" si="9"/>
        <v>33970</v>
      </c>
      <c r="H43" s="429"/>
      <c r="I43" s="450">
        <f t="shared" si="10"/>
        <v>33970</v>
      </c>
      <c r="J43" s="449">
        <v>45519.8</v>
      </c>
      <c r="K43" s="449">
        <f t="shared" si="11"/>
        <v>45519.8</v>
      </c>
      <c r="L43" s="449">
        <f t="shared" si="12"/>
        <v>33970</v>
      </c>
      <c r="M43" s="466">
        <f t="shared" si="1"/>
        <v>45520</v>
      </c>
      <c r="N43" s="421">
        <f t="shared" si="0"/>
        <v>-0.19999999999708962</v>
      </c>
    </row>
    <row r="44" spans="1:14" x14ac:dyDescent="0.25">
      <c r="A44" s="170" t="s">
        <v>157</v>
      </c>
      <c r="B44" s="28" t="s">
        <v>158</v>
      </c>
      <c r="C44" s="29" t="s">
        <v>159</v>
      </c>
      <c r="D44" s="30" t="s">
        <v>104</v>
      </c>
      <c r="E44" s="143">
        <v>246</v>
      </c>
      <c r="F44" s="144">
        <v>9451</v>
      </c>
      <c r="G44" s="145">
        <f t="shared" si="9"/>
        <v>2324946</v>
      </c>
      <c r="H44" s="429"/>
      <c r="I44" s="450">
        <f t="shared" si="10"/>
        <v>9451</v>
      </c>
      <c r="J44" s="449">
        <v>12664.34</v>
      </c>
      <c r="K44" s="449">
        <f t="shared" si="11"/>
        <v>3115427.64</v>
      </c>
      <c r="L44" s="449">
        <f t="shared" si="12"/>
        <v>2324946</v>
      </c>
      <c r="M44" s="466">
        <f t="shared" si="1"/>
        <v>3115428</v>
      </c>
      <c r="N44" s="421">
        <f t="shared" si="0"/>
        <v>-0.35999999986961484</v>
      </c>
    </row>
    <row r="45" spans="1:14" x14ac:dyDescent="0.25">
      <c r="A45" s="170" t="s">
        <v>160</v>
      </c>
      <c r="B45" s="28" t="s">
        <v>161</v>
      </c>
      <c r="C45" s="29" t="s">
        <v>162</v>
      </c>
      <c r="D45" s="30" t="s">
        <v>104</v>
      </c>
      <c r="E45" s="143">
        <v>2800</v>
      </c>
      <c r="F45" s="144">
        <v>6775</v>
      </c>
      <c r="G45" s="145">
        <f t="shared" si="9"/>
        <v>18970000</v>
      </c>
      <c r="H45" s="429"/>
      <c r="I45" s="450">
        <f t="shared" si="10"/>
        <v>6775</v>
      </c>
      <c r="J45" s="449">
        <v>9078.5</v>
      </c>
      <c r="K45" s="449">
        <f t="shared" si="11"/>
        <v>25419800</v>
      </c>
      <c r="L45" s="449">
        <f t="shared" si="12"/>
        <v>18970000</v>
      </c>
      <c r="M45" s="466">
        <f t="shared" si="1"/>
        <v>25419800</v>
      </c>
      <c r="N45" s="421">
        <f t="shared" si="0"/>
        <v>0</v>
      </c>
    </row>
    <row r="46" spans="1:14" x14ac:dyDescent="0.25">
      <c r="A46" s="170" t="s">
        <v>163</v>
      </c>
      <c r="B46" s="28" t="s">
        <v>164</v>
      </c>
      <c r="C46" s="29" t="s">
        <v>165</v>
      </c>
      <c r="D46" s="30" t="s">
        <v>104</v>
      </c>
      <c r="E46" s="143">
        <v>1720.5801200000001</v>
      </c>
      <c r="F46" s="144">
        <v>4905</v>
      </c>
      <c r="G46" s="145">
        <f t="shared" si="9"/>
        <v>8439445.4886000007</v>
      </c>
      <c r="H46" s="429"/>
      <c r="I46" s="450">
        <f t="shared" si="10"/>
        <v>4905</v>
      </c>
      <c r="J46" s="449">
        <v>6572.7000000000007</v>
      </c>
      <c r="K46" s="449">
        <f t="shared" si="11"/>
        <v>11308856.954724003</v>
      </c>
      <c r="L46" s="449">
        <f t="shared" si="12"/>
        <v>8439445.4886000007</v>
      </c>
      <c r="M46" s="466">
        <f t="shared" si="1"/>
        <v>11308857</v>
      </c>
      <c r="N46" s="421">
        <f t="shared" si="0"/>
        <v>-4.5275997370481491E-2</v>
      </c>
    </row>
    <row r="47" spans="1:14" ht="57" customHeight="1" x14ac:dyDescent="0.25">
      <c r="A47" s="171"/>
      <c r="B47" s="172" t="s">
        <v>166</v>
      </c>
      <c r="C47" s="173" t="str">
        <f>+'[3]APUS '!C780</f>
        <v>INSTALACIÓN Y PUESTA EN MARCHA DE MACROMEDIDOR 8" FULL BORE, BRIDADO ANSI 150, PROTOCOLO HART ERROR MÁXIMO 0.2%, TOTALIZADORES INDEPENDIENTE, IP68, 24 VDC, AUTO DIAGNÓSTICO Y CALIBRACIÓN HEARBEAT</v>
      </c>
      <c r="D47" s="174" t="s">
        <v>90</v>
      </c>
      <c r="E47" s="175">
        <v>1</v>
      </c>
      <c r="F47" s="176">
        <v>6783640</v>
      </c>
      <c r="G47" s="145">
        <f t="shared" si="9"/>
        <v>6783640</v>
      </c>
      <c r="H47" s="433"/>
      <c r="I47" s="451">
        <f t="shared" si="10"/>
        <v>6783640</v>
      </c>
      <c r="J47" s="449">
        <v>9090077.5999999996</v>
      </c>
      <c r="K47" s="452">
        <f t="shared" si="11"/>
        <v>9090077.5999999996</v>
      </c>
      <c r="L47" s="452">
        <f>+I47*E47</f>
        <v>6783640</v>
      </c>
      <c r="M47" s="466">
        <f t="shared" si="1"/>
        <v>9090078</v>
      </c>
      <c r="N47" s="421">
        <f t="shared" si="0"/>
        <v>-0.40000000037252903</v>
      </c>
    </row>
    <row r="48" spans="1:14" x14ac:dyDescent="0.25">
      <c r="A48" s="146"/>
      <c r="B48" s="147"/>
      <c r="C48" s="29"/>
      <c r="D48" s="30"/>
      <c r="E48" s="148"/>
      <c r="F48" s="144"/>
      <c r="G48" s="33"/>
      <c r="H48" s="39"/>
      <c r="I48" s="450"/>
      <c r="J48" s="449"/>
      <c r="K48" s="448"/>
      <c r="L48" s="448"/>
      <c r="M48" s="466">
        <f t="shared" si="1"/>
        <v>0</v>
      </c>
      <c r="N48" s="421">
        <f t="shared" si="0"/>
        <v>0</v>
      </c>
    </row>
    <row r="49" spans="1:14" ht="15.75" thickBot="1" x14ac:dyDescent="0.3">
      <c r="A49" s="152" t="s">
        <v>105</v>
      </c>
      <c r="B49" s="153"/>
      <c r="C49" s="154"/>
      <c r="D49" s="155"/>
      <c r="E49" s="156"/>
      <c r="F49" s="157" t="s">
        <v>367</v>
      </c>
      <c r="G49" s="169">
        <f>SUM(G42:G48)</f>
        <v>36919576.488600001</v>
      </c>
      <c r="H49" s="431"/>
      <c r="I49" s="450"/>
      <c r="J49" s="449"/>
      <c r="K49" s="448"/>
      <c r="L49" s="448"/>
      <c r="M49" s="466">
        <f t="shared" si="1"/>
        <v>0</v>
      </c>
      <c r="N49" s="421">
        <f t="shared" si="0"/>
        <v>0</v>
      </c>
    </row>
    <row r="50" spans="1:14" ht="23.1" customHeight="1" thickBot="1" x14ac:dyDescent="0.3">
      <c r="A50" s="80"/>
      <c r="B50" s="122"/>
      <c r="C50" s="123"/>
      <c r="D50" s="124"/>
      <c r="E50" s="164"/>
      <c r="F50" s="126"/>
      <c r="G50" s="127"/>
      <c r="H50" s="127"/>
      <c r="I50" s="450"/>
      <c r="J50" s="449"/>
      <c r="K50" s="448"/>
      <c r="L50" s="448"/>
      <c r="M50" s="466">
        <f t="shared" si="1"/>
        <v>0</v>
      </c>
      <c r="N50" s="421">
        <f t="shared" si="0"/>
        <v>0</v>
      </c>
    </row>
    <row r="51" spans="1:14" x14ac:dyDescent="0.25">
      <c r="A51" s="128" t="s">
        <v>98</v>
      </c>
      <c r="B51" s="129">
        <v>5</v>
      </c>
      <c r="C51" s="130" t="s">
        <v>167</v>
      </c>
      <c r="D51" s="131"/>
      <c r="E51" s="132"/>
      <c r="F51" s="133"/>
      <c r="G51" s="134">
        <f>SUM(G52:G93)</f>
        <v>145066804</v>
      </c>
      <c r="H51" s="428"/>
      <c r="I51" s="450"/>
      <c r="J51" s="449"/>
      <c r="K51" s="448"/>
      <c r="L51" s="448"/>
      <c r="M51" s="466">
        <f t="shared" si="1"/>
        <v>0</v>
      </c>
      <c r="N51" s="421">
        <f t="shared" si="0"/>
        <v>0</v>
      </c>
    </row>
    <row r="52" spans="1:14" x14ac:dyDescent="0.25">
      <c r="A52" s="178"/>
      <c r="B52" s="28" t="s">
        <v>168</v>
      </c>
      <c r="C52" s="29" t="s">
        <v>169</v>
      </c>
      <c r="D52" s="30" t="s">
        <v>90</v>
      </c>
      <c r="E52" s="143">
        <v>13</v>
      </c>
      <c r="F52" s="144">
        <v>262245</v>
      </c>
      <c r="G52" s="145">
        <f t="shared" ref="G52:G92" si="13">F52*E52</f>
        <v>3409185</v>
      </c>
      <c r="H52" s="429"/>
      <c r="I52" s="450">
        <f t="shared" ref="I52:I92" si="14">+F52</f>
        <v>262245</v>
      </c>
      <c r="J52" s="449">
        <v>351408.30000000005</v>
      </c>
      <c r="K52" s="449">
        <f t="shared" ref="K52:K92" si="15">+J52*E52</f>
        <v>4568307.9000000004</v>
      </c>
      <c r="L52" s="449">
        <f t="shared" ref="L52:L92" si="16">+I52*E52</f>
        <v>3409185</v>
      </c>
      <c r="M52" s="466">
        <f t="shared" si="1"/>
        <v>4568308</v>
      </c>
      <c r="N52" s="421">
        <f t="shared" si="0"/>
        <v>-9.999999962747097E-2</v>
      </c>
    </row>
    <row r="53" spans="1:14" x14ac:dyDescent="0.25">
      <c r="A53" s="178"/>
      <c r="B53" s="28" t="s">
        <v>170</v>
      </c>
      <c r="C53" s="29" t="s">
        <v>171</v>
      </c>
      <c r="D53" s="30" t="s">
        <v>90</v>
      </c>
      <c r="E53" s="143">
        <v>2</v>
      </c>
      <c r="F53" s="144">
        <v>373467</v>
      </c>
      <c r="G53" s="145">
        <f t="shared" si="13"/>
        <v>746934</v>
      </c>
      <c r="H53" s="429"/>
      <c r="I53" s="450">
        <f t="shared" si="14"/>
        <v>373467</v>
      </c>
      <c r="J53" s="449">
        <v>500445.78</v>
      </c>
      <c r="K53" s="449">
        <f t="shared" si="15"/>
        <v>1000891.56</v>
      </c>
      <c r="L53" s="449">
        <f t="shared" si="16"/>
        <v>746934</v>
      </c>
      <c r="M53" s="466">
        <f t="shared" si="1"/>
        <v>1000892</v>
      </c>
      <c r="N53" s="421">
        <f t="shared" si="0"/>
        <v>-0.43999999994412065</v>
      </c>
    </row>
    <row r="54" spans="1:14" x14ac:dyDescent="0.25">
      <c r="A54" s="178"/>
      <c r="B54" s="28" t="s">
        <v>172</v>
      </c>
      <c r="C54" s="29" t="s">
        <v>173</v>
      </c>
      <c r="D54" s="30" t="s">
        <v>90</v>
      </c>
      <c r="E54" s="143">
        <v>9</v>
      </c>
      <c r="F54" s="144">
        <v>433288</v>
      </c>
      <c r="G54" s="145">
        <f t="shared" si="13"/>
        <v>3899592</v>
      </c>
      <c r="H54" s="429"/>
      <c r="I54" s="450">
        <f t="shared" si="14"/>
        <v>433288</v>
      </c>
      <c r="J54" s="449">
        <v>580605.92000000004</v>
      </c>
      <c r="K54" s="449">
        <f t="shared" si="15"/>
        <v>5225453.28</v>
      </c>
      <c r="L54" s="449">
        <f t="shared" si="16"/>
        <v>3899592</v>
      </c>
      <c r="M54" s="466">
        <f t="shared" si="1"/>
        <v>5225453</v>
      </c>
      <c r="N54" s="421">
        <f t="shared" si="0"/>
        <v>0.28000000026077032</v>
      </c>
    </row>
    <row r="55" spans="1:14" x14ac:dyDescent="0.25">
      <c r="A55" s="27" t="s">
        <v>174</v>
      </c>
      <c r="B55" s="28" t="s">
        <v>175</v>
      </c>
      <c r="C55" s="29" t="s">
        <v>176</v>
      </c>
      <c r="D55" s="30" t="s">
        <v>90</v>
      </c>
      <c r="E55" s="143">
        <v>2</v>
      </c>
      <c r="F55" s="144">
        <v>823327</v>
      </c>
      <c r="G55" s="145">
        <f t="shared" si="13"/>
        <v>1646654</v>
      </c>
      <c r="H55" s="429"/>
      <c r="I55" s="450">
        <f t="shared" si="14"/>
        <v>823327</v>
      </c>
      <c r="J55" s="449">
        <v>1103258.1800000002</v>
      </c>
      <c r="K55" s="449">
        <f t="shared" si="15"/>
        <v>2206516.3600000003</v>
      </c>
      <c r="L55" s="449">
        <f t="shared" si="16"/>
        <v>1646654</v>
      </c>
      <c r="M55" s="466">
        <f t="shared" si="1"/>
        <v>2206516</v>
      </c>
      <c r="N55" s="421">
        <f t="shared" si="0"/>
        <v>0.36000000033527613</v>
      </c>
    </row>
    <row r="56" spans="1:14" x14ac:dyDescent="0.25">
      <c r="A56" s="27" t="s">
        <v>177</v>
      </c>
      <c r="B56" s="28" t="s">
        <v>178</v>
      </c>
      <c r="C56" s="29" t="s">
        <v>179</v>
      </c>
      <c r="D56" s="30" t="s">
        <v>90</v>
      </c>
      <c r="E56" s="143">
        <v>4</v>
      </c>
      <c r="F56" s="144">
        <v>191027</v>
      </c>
      <c r="G56" s="145">
        <f t="shared" si="13"/>
        <v>764108</v>
      </c>
      <c r="H56" s="429"/>
      <c r="I56" s="450">
        <f t="shared" si="14"/>
        <v>191027</v>
      </c>
      <c r="J56" s="449">
        <v>255976.18000000002</v>
      </c>
      <c r="K56" s="449">
        <f t="shared" si="15"/>
        <v>1023904.7200000001</v>
      </c>
      <c r="L56" s="449">
        <f t="shared" si="16"/>
        <v>764108</v>
      </c>
      <c r="M56" s="466">
        <f t="shared" si="1"/>
        <v>1023905</v>
      </c>
      <c r="N56" s="421">
        <f t="shared" si="0"/>
        <v>-0.27999999991152436</v>
      </c>
    </row>
    <row r="57" spans="1:14" x14ac:dyDescent="0.25">
      <c r="A57" s="27" t="s">
        <v>180</v>
      </c>
      <c r="B57" s="28" t="s">
        <v>181</v>
      </c>
      <c r="C57" s="29" t="s">
        <v>182</v>
      </c>
      <c r="D57" s="30" t="s">
        <v>90</v>
      </c>
      <c r="E57" s="143">
        <v>2</v>
      </c>
      <c r="F57" s="144">
        <v>288798</v>
      </c>
      <c r="G57" s="145">
        <f t="shared" si="13"/>
        <v>577596</v>
      </c>
      <c r="H57" s="429"/>
      <c r="I57" s="450">
        <f t="shared" si="14"/>
        <v>288798</v>
      </c>
      <c r="J57" s="449">
        <v>386989.32</v>
      </c>
      <c r="K57" s="449">
        <f t="shared" si="15"/>
        <v>773978.64</v>
      </c>
      <c r="L57" s="449">
        <f t="shared" si="16"/>
        <v>577596</v>
      </c>
      <c r="M57" s="466">
        <f t="shared" si="1"/>
        <v>773979</v>
      </c>
      <c r="N57" s="421">
        <f t="shared" si="0"/>
        <v>-0.35999999998603016</v>
      </c>
    </row>
    <row r="58" spans="1:14" x14ac:dyDescent="0.25">
      <c r="A58" s="27" t="s">
        <v>183</v>
      </c>
      <c r="B58" s="28" t="s">
        <v>184</v>
      </c>
      <c r="C58" s="29" t="s">
        <v>185</v>
      </c>
      <c r="D58" s="30" t="s">
        <v>90</v>
      </c>
      <c r="E58" s="143">
        <v>2</v>
      </c>
      <c r="F58" s="144">
        <v>152024</v>
      </c>
      <c r="G58" s="145">
        <f t="shared" si="13"/>
        <v>304048</v>
      </c>
      <c r="H58" s="429"/>
      <c r="I58" s="450">
        <f t="shared" si="14"/>
        <v>152024</v>
      </c>
      <c r="J58" s="449">
        <v>203712.16</v>
      </c>
      <c r="K58" s="449">
        <f t="shared" si="15"/>
        <v>407424.32</v>
      </c>
      <c r="L58" s="449">
        <f t="shared" si="16"/>
        <v>304048</v>
      </c>
      <c r="M58" s="466">
        <f t="shared" si="1"/>
        <v>407424</v>
      </c>
      <c r="N58" s="421">
        <f t="shared" si="0"/>
        <v>0.32000000000698492</v>
      </c>
    </row>
    <row r="59" spans="1:14" x14ac:dyDescent="0.25">
      <c r="A59" s="27" t="s">
        <v>186</v>
      </c>
      <c r="B59" s="28" t="s">
        <v>187</v>
      </c>
      <c r="C59" s="29" t="s">
        <v>188</v>
      </c>
      <c r="D59" s="30" t="s">
        <v>90</v>
      </c>
      <c r="E59" s="143">
        <v>10</v>
      </c>
      <c r="F59" s="144">
        <v>351815</v>
      </c>
      <c r="G59" s="145">
        <f t="shared" si="13"/>
        <v>3518150</v>
      </c>
      <c r="H59" s="429"/>
      <c r="I59" s="450">
        <f t="shared" si="14"/>
        <v>351815</v>
      </c>
      <c r="J59" s="449">
        <v>471432.10000000003</v>
      </c>
      <c r="K59" s="449">
        <f t="shared" si="15"/>
        <v>4714321</v>
      </c>
      <c r="L59" s="449">
        <f t="shared" si="16"/>
        <v>3518150</v>
      </c>
      <c r="M59" s="466">
        <f t="shared" si="1"/>
        <v>4714321</v>
      </c>
      <c r="N59" s="421">
        <f t="shared" si="0"/>
        <v>0</v>
      </c>
    </row>
    <row r="60" spans="1:14" x14ac:dyDescent="0.25">
      <c r="A60" s="27" t="s">
        <v>189</v>
      </c>
      <c r="B60" s="28" t="s">
        <v>190</v>
      </c>
      <c r="C60" s="29" t="s">
        <v>191</v>
      </c>
      <c r="D60" s="30" t="s">
        <v>90</v>
      </c>
      <c r="E60" s="143">
        <v>13</v>
      </c>
      <c r="F60" s="144">
        <v>111668</v>
      </c>
      <c r="G60" s="145">
        <f t="shared" si="13"/>
        <v>1451684</v>
      </c>
      <c r="H60" s="429"/>
      <c r="I60" s="450">
        <f t="shared" si="14"/>
        <v>111668</v>
      </c>
      <c r="J60" s="449">
        <v>149635.12</v>
      </c>
      <c r="K60" s="449">
        <f t="shared" si="15"/>
        <v>1945256.56</v>
      </c>
      <c r="L60" s="449">
        <f t="shared" si="16"/>
        <v>1451684</v>
      </c>
      <c r="M60" s="466">
        <f t="shared" si="1"/>
        <v>1945257</v>
      </c>
      <c r="N60" s="421">
        <f t="shared" si="0"/>
        <v>-0.43999999994412065</v>
      </c>
    </row>
    <row r="61" spans="1:14" x14ac:dyDescent="0.25">
      <c r="A61" s="27" t="s">
        <v>192</v>
      </c>
      <c r="B61" s="28" t="s">
        <v>193</v>
      </c>
      <c r="C61" s="29" t="s">
        <v>194</v>
      </c>
      <c r="D61" s="30" t="s">
        <v>90</v>
      </c>
      <c r="E61" s="143">
        <v>22</v>
      </c>
      <c r="F61" s="144">
        <v>51306</v>
      </c>
      <c r="G61" s="145">
        <f t="shared" si="13"/>
        <v>1128732</v>
      </c>
      <c r="H61" s="429"/>
      <c r="I61" s="450">
        <f t="shared" si="14"/>
        <v>51306</v>
      </c>
      <c r="J61" s="449">
        <v>68750.040000000008</v>
      </c>
      <c r="K61" s="449">
        <f t="shared" si="15"/>
        <v>1512500.8800000001</v>
      </c>
      <c r="L61" s="449">
        <f t="shared" si="16"/>
        <v>1128732</v>
      </c>
      <c r="M61" s="466">
        <f t="shared" si="1"/>
        <v>1512501</v>
      </c>
      <c r="N61" s="421">
        <f t="shared" si="0"/>
        <v>-0.11999999987892807</v>
      </c>
    </row>
    <row r="62" spans="1:14" x14ac:dyDescent="0.25">
      <c r="A62" s="27" t="s">
        <v>195</v>
      </c>
      <c r="B62" s="28" t="s">
        <v>196</v>
      </c>
      <c r="C62" s="29" t="s">
        <v>197</v>
      </c>
      <c r="D62" s="30" t="s">
        <v>90</v>
      </c>
      <c r="E62" s="143">
        <v>23</v>
      </c>
      <c r="F62" s="144">
        <v>479462</v>
      </c>
      <c r="G62" s="145">
        <f t="shared" si="13"/>
        <v>11027626</v>
      </c>
      <c r="H62" s="429"/>
      <c r="I62" s="450">
        <f t="shared" si="14"/>
        <v>479462</v>
      </c>
      <c r="J62" s="449">
        <v>642479.08000000007</v>
      </c>
      <c r="K62" s="449">
        <f t="shared" si="15"/>
        <v>14777018.840000002</v>
      </c>
      <c r="L62" s="449">
        <f t="shared" si="16"/>
        <v>11027626</v>
      </c>
      <c r="M62" s="466">
        <f t="shared" si="1"/>
        <v>14777019</v>
      </c>
      <c r="N62" s="421">
        <f t="shared" si="0"/>
        <v>-0.15999999828636646</v>
      </c>
    </row>
    <row r="63" spans="1:14" x14ac:dyDescent="0.25">
      <c r="A63" s="27" t="s">
        <v>198</v>
      </c>
      <c r="B63" s="28" t="s">
        <v>199</v>
      </c>
      <c r="C63" s="29" t="s">
        <v>200</v>
      </c>
      <c r="D63" s="30" t="s">
        <v>90</v>
      </c>
      <c r="E63" s="143">
        <v>31</v>
      </c>
      <c r="F63" s="144">
        <v>99517</v>
      </c>
      <c r="G63" s="145">
        <f t="shared" si="13"/>
        <v>3085027</v>
      </c>
      <c r="H63" s="429"/>
      <c r="I63" s="450">
        <f t="shared" si="14"/>
        <v>99517</v>
      </c>
      <c r="J63" s="449">
        <v>133352.78</v>
      </c>
      <c r="K63" s="449">
        <f t="shared" si="15"/>
        <v>4133936.18</v>
      </c>
      <c r="L63" s="449">
        <f t="shared" si="16"/>
        <v>3085027</v>
      </c>
      <c r="M63" s="466">
        <f t="shared" si="1"/>
        <v>4133936</v>
      </c>
      <c r="N63" s="421">
        <f t="shared" si="0"/>
        <v>0.18000000016763806</v>
      </c>
    </row>
    <row r="64" spans="1:14" x14ac:dyDescent="0.25">
      <c r="A64" s="27" t="s">
        <v>201</v>
      </c>
      <c r="B64" s="28" t="s">
        <v>202</v>
      </c>
      <c r="C64" s="29" t="s">
        <v>203</v>
      </c>
      <c r="D64" s="30" t="s">
        <v>90</v>
      </c>
      <c r="E64" s="143">
        <v>11</v>
      </c>
      <c r="F64" s="144">
        <v>2119995</v>
      </c>
      <c r="G64" s="145">
        <f t="shared" si="13"/>
        <v>23319945</v>
      </c>
      <c r="H64" s="429"/>
      <c r="I64" s="450">
        <f t="shared" si="14"/>
        <v>2119995</v>
      </c>
      <c r="J64" s="449">
        <v>2840793.3000000003</v>
      </c>
      <c r="K64" s="449">
        <f t="shared" si="15"/>
        <v>31248726.300000004</v>
      </c>
      <c r="L64" s="449">
        <f t="shared" si="16"/>
        <v>23319945</v>
      </c>
      <c r="M64" s="466">
        <f t="shared" si="1"/>
        <v>31248726</v>
      </c>
      <c r="N64" s="421">
        <f t="shared" si="0"/>
        <v>0.30000000447034836</v>
      </c>
    </row>
    <row r="65" spans="1:14" x14ac:dyDescent="0.25">
      <c r="A65" s="27" t="s">
        <v>204</v>
      </c>
      <c r="B65" s="28" t="s">
        <v>205</v>
      </c>
      <c r="C65" s="29" t="s">
        <v>206</v>
      </c>
      <c r="D65" s="30" t="s">
        <v>90</v>
      </c>
      <c r="E65" s="143">
        <v>1</v>
      </c>
      <c r="F65" s="144">
        <v>515729</v>
      </c>
      <c r="G65" s="145">
        <f t="shared" si="13"/>
        <v>515729</v>
      </c>
      <c r="H65" s="429"/>
      <c r="I65" s="450">
        <f t="shared" si="14"/>
        <v>515729</v>
      </c>
      <c r="J65" s="449">
        <v>691076.86</v>
      </c>
      <c r="K65" s="449">
        <f t="shared" si="15"/>
        <v>691076.86</v>
      </c>
      <c r="L65" s="449">
        <f t="shared" si="16"/>
        <v>515729</v>
      </c>
      <c r="M65" s="466">
        <f t="shared" si="1"/>
        <v>691077</v>
      </c>
      <c r="N65" s="421">
        <f t="shared" si="0"/>
        <v>-0.14000000001396984</v>
      </c>
    </row>
    <row r="66" spans="1:14" x14ac:dyDescent="0.25">
      <c r="A66" s="27" t="s">
        <v>207</v>
      </c>
      <c r="B66" s="28" t="s">
        <v>208</v>
      </c>
      <c r="C66" s="29" t="s">
        <v>209</v>
      </c>
      <c r="D66" s="30" t="s">
        <v>90</v>
      </c>
      <c r="E66" s="143">
        <v>27</v>
      </c>
      <c r="F66" s="144">
        <v>191382</v>
      </c>
      <c r="G66" s="145">
        <f t="shared" si="13"/>
        <v>5167314</v>
      </c>
      <c r="H66" s="429"/>
      <c r="I66" s="450">
        <f t="shared" si="14"/>
        <v>191382</v>
      </c>
      <c r="J66" s="449">
        <v>256451.88</v>
      </c>
      <c r="K66" s="449">
        <f t="shared" si="15"/>
        <v>6924200.7599999998</v>
      </c>
      <c r="L66" s="449">
        <f t="shared" si="16"/>
        <v>5167314</v>
      </c>
      <c r="M66" s="466">
        <f t="shared" si="1"/>
        <v>6924201</v>
      </c>
      <c r="N66" s="421">
        <f t="shared" si="0"/>
        <v>-0.24000000022351742</v>
      </c>
    </row>
    <row r="67" spans="1:14" x14ac:dyDescent="0.25">
      <c r="A67" s="27" t="s">
        <v>210</v>
      </c>
      <c r="B67" s="28" t="s">
        <v>211</v>
      </c>
      <c r="C67" s="29" t="s">
        <v>212</v>
      </c>
      <c r="D67" s="30" t="s">
        <v>90</v>
      </c>
      <c r="E67" s="143">
        <v>22</v>
      </c>
      <c r="F67" s="144">
        <v>213082</v>
      </c>
      <c r="G67" s="145">
        <f t="shared" si="13"/>
        <v>4687804</v>
      </c>
      <c r="H67" s="429"/>
      <c r="I67" s="450">
        <f t="shared" si="14"/>
        <v>213082</v>
      </c>
      <c r="J67" s="449">
        <v>285529.88</v>
      </c>
      <c r="K67" s="449">
        <f t="shared" si="15"/>
        <v>6281657.3600000003</v>
      </c>
      <c r="L67" s="449">
        <f t="shared" si="16"/>
        <v>4687804</v>
      </c>
      <c r="M67" s="466">
        <f t="shared" si="1"/>
        <v>6281657</v>
      </c>
      <c r="N67" s="421">
        <f t="shared" si="0"/>
        <v>0.36000000033527613</v>
      </c>
    </row>
    <row r="68" spans="1:14" x14ac:dyDescent="0.25">
      <c r="A68" s="27" t="s">
        <v>213</v>
      </c>
      <c r="B68" s="28" t="s">
        <v>214</v>
      </c>
      <c r="C68" s="29" t="s">
        <v>215</v>
      </c>
      <c r="D68" s="30" t="s">
        <v>90</v>
      </c>
      <c r="E68" s="143">
        <v>2</v>
      </c>
      <c r="F68" s="144">
        <v>135345</v>
      </c>
      <c r="G68" s="145">
        <f t="shared" si="13"/>
        <v>270690</v>
      </c>
      <c r="H68" s="429"/>
      <c r="I68" s="450">
        <f t="shared" si="14"/>
        <v>135345</v>
      </c>
      <c r="J68" s="449">
        <v>181362.30000000002</v>
      </c>
      <c r="K68" s="449">
        <f t="shared" si="15"/>
        <v>362724.60000000003</v>
      </c>
      <c r="L68" s="449">
        <f t="shared" si="16"/>
        <v>270690</v>
      </c>
      <c r="M68" s="466">
        <f t="shared" si="1"/>
        <v>362725</v>
      </c>
      <c r="N68" s="421">
        <f t="shared" si="0"/>
        <v>-0.3999999999650754</v>
      </c>
    </row>
    <row r="69" spans="1:14" x14ac:dyDescent="0.25">
      <c r="A69" s="27" t="s">
        <v>216</v>
      </c>
      <c r="B69" s="28" t="s">
        <v>217</v>
      </c>
      <c r="C69" s="29" t="s">
        <v>218</v>
      </c>
      <c r="D69" s="30" t="s">
        <v>90</v>
      </c>
      <c r="E69" s="143">
        <v>67</v>
      </c>
      <c r="F69" s="144">
        <v>109305</v>
      </c>
      <c r="G69" s="145">
        <f t="shared" si="13"/>
        <v>7323435</v>
      </c>
      <c r="H69" s="429"/>
      <c r="I69" s="450">
        <f t="shared" si="14"/>
        <v>109305</v>
      </c>
      <c r="J69" s="449">
        <v>146468.70000000001</v>
      </c>
      <c r="K69" s="449">
        <f t="shared" si="15"/>
        <v>9813402.9000000004</v>
      </c>
      <c r="L69" s="449">
        <f t="shared" si="16"/>
        <v>7323435</v>
      </c>
      <c r="M69" s="466">
        <f t="shared" si="1"/>
        <v>9813403</v>
      </c>
      <c r="N69" s="421">
        <f t="shared" si="0"/>
        <v>-9.999999962747097E-2</v>
      </c>
    </row>
    <row r="70" spans="1:14" x14ac:dyDescent="0.25">
      <c r="A70" s="27" t="s">
        <v>219</v>
      </c>
      <c r="B70" s="28" t="s">
        <v>220</v>
      </c>
      <c r="C70" s="29" t="s">
        <v>221</v>
      </c>
      <c r="D70" s="30" t="s">
        <v>90</v>
      </c>
      <c r="E70" s="143">
        <v>5</v>
      </c>
      <c r="F70" s="144">
        <v>1102529</v>
      </c>
      <c r="G70" s="145">
        <f t="shared" si="13"/>
        <v>5512645</v>
      </c>
      <c r="H70" s="429"/>
      <c r="I70" s="450">
        <f t="shared" si="14"/>
        <v>1102529</v>
      </c>
      <c r="J70" s="449">
        <v>1477388.86</v>
      </c>
      <c r="K70" s="449">
        <f t="shared" si="15"/>
        <v>7386944.3000000007</v>
      </c>
      <c r="L70" s="449">
        <f t="shared" si="16"/>
        <v>5512645</v>
      </c>
      <c r="M70" s="466">
        <f t="shared" si="1"/>
        <v>7386944</v>
      </c>
      <c r="N70" s="421">
        <f t="shared" si="0"/>
        <v>0.30000000074505806</v>
      </c>
    </row>
    <row r="71" spans="1:14" x14ac:dyDescent="0.25">
      <c r="A71" s="27" t="s">
        <v>222</v>
      </c>
      <c r="B71" s="28" t="s">
        <v>223</v>
      </c>
      <c r="C71" s="29" t="s">
        <v>224</v>
      </c>
      <c r="D71" s="30" t="s">
        <v>90</v>
      </c>
      <c r="E71" s="143">
        <v>12</v>
      </c>
      <c r="F71" s="144">
        <v>144088</v>
      </c>
      <c r="G71" s="145">
        <f t="shared" si="13"/>
        <v>1729056</v>
      </c>
      <c r="H71" s="429"/>
      <c r="I71" s="450">
        <f t="shared" si="14"/>
        <v>144088</v>
      </c>
      <c r="J71" s="449">
        <v>193077.92</v>
      </c>
      <c r="K71" s="449">
        <f t="shared" si="15"/>
        <v>2316935.04</v>
      </c>
      <c r="L71" s="449">
        <f t="shared" si="16"/>
        <v>1729056</v>
      </c>
      <c r="M71" s="466">
        <f t="shared" si="1"/>
        <v>2316935</v>
      </c>
      <c r="N71" s="421">
        <f t="shared" si="0"/>
        <v>4.0000000037252903E-2</v>
      </c>
    </row>
    <row r="72" spans="1:14" x14ac:dyDescent="0.25">
      <c r="A72" s="27" t="s">
        <v>225</v>
      </c>
      <c r="B72" s="28" t="s">
        <v>226</v>
      </c>
      <c r="C72" s="29" t="s">
        <v>227</v>
      </c>
      <c r="D72" s="30" t="s">
        <v>90</v>
      </c>
      <c r="E72" s="143">
        <v>13</v>
      </c>
      <c r="F72" s="144">
        <v>1091293</v>
      </c>
      <c r="G72" s="145">
        <f t="shared" si="13"/>
        <v>14186809</v>
      </c>
      <c r="H72" s="429"/>
      <c r="I72" s="450">
        <f t="shared" si="14"/>
        <v>1091293</v>
      </c>
      <c r="J72" s="449">
        <v>1462332.62</v>
      </c>
      <c r="K72" s="449">
        <f t="shared" si="15"/>
        <v>19010324.060000002</v>
      </c>
      <c r="L72" s="449">
        <f t="shared" si="16"/>
        <v>14186809</v>
      </c>
      <c r="M72" s="466">
        <f t="shared" si="1"/>
        <v>19010324</v>
      </c>
      <c r="N72" s="421">
        <f t="shared" si="0"/>
        <v>6.0000002384185791E-2</v>
      </c>
    </row>
    <row r="73" spans="1:14" x14ac:dyDescent="0.25">
      <c r="A73" s="27" t="s">
        <v>228</v>
      </c>
      <c r="B73" s="28" t="s">
        <v>229</v>
      </c>
      <c r="C73" s="29" t="s">
        <v>230</v>
      </c>
      <c r="D73" s="30" t="s">
        <v>90</v>
      </c>
      <c r="E73" s="143">
        <v>5</v>
      </c>
      <c r="F73" s="144">
        <v>24700</v>
      </c>
      <c r="G73" s="145">
        <f t="shared" si="13"/>
        <v>123500</v>
      </c>
      <c r="H73" s="429"/>
      <c r="I73" s="450">
        <f t="shared" si="14"/>
        <v>24700</v>
      </c>
      <c r="J73" s="449">
        <v>33098</v>
      </c>
      <c r="K73" s="449">
        <f t="shared" si="15"/>
        <v>165490</v>
      </c>
      <c r="L73" s="449">
        <f t="shared" si="16"/>
        <v>123500</v>
      </c>
      <c r="M73" s="466">
        <f t="shared" si="1"/>
        <v>165490</v>
      </c>
      <c r="N73" s="421">
        <f t="shared" si="0"/>
        <v>0</v>
      </c>
    </row>
    <row r="74" spans="1:14" x14ac:dyDescent="0.25">
      <c r="A74" s="27" t="s">
        <v>231</v>
      </c>
      <c r="B74" s="28" t="s">
        <v>232</v>
      </c>
      <c r="C74" s="29" t="s">
        <v>233</v>
      </c>
      <c r="D74" s="30" t="s">
        <v>90</v>
      </c>
      <c r="E74" s="143">
        <v>2</v>
      </c>
      <c r="F74" s="144">
        <v>266001</v>
      </c>
      <c r="G74" s="145">
        <f t="shared" si="13"/>
        <v>532002</v>
      </c>
      <c r="H74" s="429"/>
      <c r="I74" s="450">
        <f t="shared" si="14"/>
        <v>266001</v>
      </c>
      <c r="J74" s="449">
        <v>356441.34</v>
      </c>
      <c r="K74" s="449">
        <f t="shared" si="15"/>
        <v>712882.68</v>
      </c>
      <c r="L74" s="449">
        <f t="shared" si="16"/>
        <v>532002</v>
      </c>
      <c r="M74" s="466">
        <f t="shared" si="1"/>
        <v>712883</v>
      </c>
      <c r="N74" s="421">
        <f t="shared" si="0"/>
        <v>-0.31999999994877726</v>
      </c>
    </row>
    <row r="75" spans="1:14" x14ac:dyDescent="0.25">
      <c r="A75" s="27" t="s">
        <v>234</v>
      </c>
      <c r="B75" s="28" t="s">
        <v>235</v>
      </c>
      <c r="C75" s="29" t="s">
        <v>236</v>
      </c>
      <c r="D75" s="30" t="s">
        <v>90</v>
      </c>
      <c r="E75" s="143">
        <v>9</v>
      </c>
      <c r="F75" s="144">
        <v>1092237</v>
      </c>
      <c r="G75" s="145">
        <f t="shared" si="13"/>
        <v>9830133</v>
      </c>
      <c r="H75" s="429"/>
      <c r="I75" s="450">
        <f t="shared" si="14"/>
        <v>1092237</v>
      </c>
      <c r="J75" s="449">
        <v>1463597.58</v>
      </c>
      <c r="K75" s="449">
        <f t="shared" si="15"/>
        <v>13172378.220000001</v>
      </c>
      <c r="L75" s="449">
        <f t="shared" si="16"/>
        <v>9830133</v>
      </c>
      <c r="M75" s="466">
        <f t="shared" si="1"/>
        <v>13172378</v>
      </c>
      <c r="N75" s="421">
        <f t="shared" si="0"/>
        <v>0.22000000067055225</v>
      </c>
    </row>
    <row r="76" spans="1:14" x14ac:dyDescent="0.25">
      <c r="A76" s="170" t="s">
        <v>237</v>
      </c>
      <c r="B76" s="28" t="s">
        <v>238</v>
      </c>
      <c r="C76" s="29" t="s">
        <v>179</v>
      </c>
      <c r="D76" s="30" t="s">
        <v>90</v>
      </c>
      <c r="E76" s="143">
        <v>4</v>
      </c>
      <c r="F76" s="144">
        <v>191009</v>
      </c>
      <c r="G76" s="145">
        <f t="shared" si="13"/>
        <v>764036</v>
      </c>
      <c r="H76" s="429"/>
      <c r="I76" s="450">
        <f t="shared" si="14"/>
        <v>191009</v>
      </c>
      <c r="J76" s="449">
        <v>255952.06000000003</v>
      </c>
      <c r="K76" s="449">
        <f t="shared" si="15"/>
        <v>1023808.2400000001</v>
      </c>
      <c r="L76" s="449">
        <f t="shared" si="16"/>
        <v>764036</v>
      </c>
      <c r="M76" s="466">
        <f t="shared" si="1"/>
        <v>1023808</v>
      </c>
      <c r="N76" s="421">
        <f t="shared" si="0"/>
        <v>0.2400000001071021</v>
      </c>
    </row>
    <row r="77" spans="1:14" x14ac:dyDescent="0.25">
      <c r="A77" s="27" t="s">
        <v>239</v>
      </c>
      <c r="B77" s="28" t="s">
        <v>240</v>
      </c>
      <c r="C77" s="29" t="s">
        <v>241</v>
      </c>
      <c r="D77" s="30" t="s">
        <v>90</v>
      </c>
      <c r="E77" s="143">
        <v>2</v>
      </c>
      <c r="F77" s="144">
        <v>284628</v>
      </c>
      <c r="G77" s="145">
        <f t="shared" si="13"/>
        <v>569256</v>
      </c>
      <c r="H77" s="429"/>
      <c r="I77" s="450">
        <f t="shared" si="14"/>
        <v>284628</v>
      </c>
      <c r="J77" s="449">
        <v>381401.52</v>
      </c>
      <c r="K77" s="449">
        <f t="shared" si="15"/>
        <v>762803.04</v>
      </c>
      <c r="L77" s="449">
        <f t="shared" si="16"/>
        <v>569256</v>
      </c>
      <c r="M77" s="466">
        <f t="shared" si="1"/>
        <v>762803</v>
      </c>
      <c r="N77" s="421">
        <f t="shared" si="0"/>
        <v>4.0000000037252903E-2</v>
      </c>
    </row>
    <row r="78" spans="1:14" x14ac:dyDescent="0.25">
      <c r="A78" s="27" t="s">
        <v>242</v>
      </c>
      <c r="B78" s="28" t="s">
        <v>243</v>
      </c>
      <c r="C78" s="29" t="s">
        <v>244</v>
      </c>
      <c r="D78" s="30" t="s">
        <v>90</v>
      </c>
      <c r="E78" s="143">
        <v>1</v>
      </c>
      <c r="F78" s="144">
        <v>632587</v>
      </c>
      <c r="G78" s="145">
        <f t="shared" si="13"/>
        <v>632587</v>
      </c>
      <c r="H78" s="429"/>
      <c r="I78" s="450">
        <f t="shared" si="14"/>
        <v>632587</v>
      </c>
      <c r="J78" s="449">
        <v>847666.58000000007</v>
      </c>
      <c r="K78" s="449">
        <f t="shared" si="15"/>
        <v>847666.58000000007</v>
      </c>
      <c r="L78" s="449">
        <f t="shared" si="16"/>
        <v>632587</v>
      </c>
      <c r="M78" s="466">
        <f t="shared" si="1"/>
        <v>847667</v>
      </c>
      <c r="N78" s="421">
        <f t="shared" si="0"/>
        <v>-0.41999999992549419</v>
      </c>
    </row>
    <row r="79" spans="1:14" x14ac:dyDescent="0.25">
      <c r="A79" s="27" t="s">
        <v>245</v>
      </c>
      <c r="B79" s="28" t="s">
        <v>246</v>
      </c>
      <c r="C79" s="29" t="s">
        <v>247</v>
      </c>
      <c r="D79" s="30" t="s">
        <v>90</v>
      </c>
      <c r="E79" s="143">
        <v>6</v>
      </c>
      <c r="F79" s="144">
        <v>109096</v>
      </c>
      <c r="G79" s="145">
        <f t="shared" si="13"/>
        <v>654576</v>
      </c>
      <c r="H79" s="429"/>
      <c r="I79" s="450">
        <f t="shared" si="14"/>
        <v>109096</v>
      </c>
      <c r="J79" s="449">
        <v>146188.64000000001</v>
      </c>
      <c r="K79" s="449">
        <f t="shared" si="15"/>
        <v>877131.84000000008</v>
      </c>
      <c r="L79" s="449">
        <f t="shared" si="16"/>
        <v>654576</v>
      </c>
      <c r="M79" s="466">
        <f t="shared" si="1"/>
        <v>877132</v>
      </c>
      <c r="N79" s="421">
        <f t="shared" ref="N79:N99" si="17">K79-M79</f>
        <v>-0.15999999991618097</v>
      </c>
    </row>
    <row r="80" spans="1:14" x14ac:dyDescent="0.25">
      <c r="A80" s="27" t="s">
        <v>248</v>
      </c>
      <c r="B80" s="28" t="s">
        <v>249</v>
      </c>
      <c r="C80" s="29" t="s">
        <v>250</v>
      </c>
      <c r="D80" s="30" t="s">
        <v>90</v>
      </c>
      <c r="E80" s="143">
        <v>5</v>
      </c>
      <c r="F80" s="144">
        <v>112193</v>
      </c>
      <c r="G80" s="145">
        <f t="shared" si="13"/>
        <v>560965</v>
      </c>
      <c r="H80" s="429"/>
      <c r="I80" s="450">
        <f t="shared" si="14"/>
        <v>112193</v>
      </c>
      <c r="J80" s="449">
        <v>150338.62</v>
      </c>
      <c r="K80" s="449">
        <f t="shared" si="15"/>
        <v>751693.1</v>
      </c>
      <c r="L80" s="449">
        <f t="shared" si="16"/>
        <v>560965</v>
      </c>
      <c r="M80" s="466">
        <f t="shared" ref="M80:M122" si="18">ROUND(L80*1.34,0)</f>
        <v>751693</v>
      </c>
      <c r="N80" s="421">
        <f t="shared" si="17"/>
        <v>9.9999999976716936E-2</v>
      </c>
    </row>
    <row r="81" spans="1:14" x14ac:dyDescent="0.25">
      <c r="A81" s="170" t="s">
        <v>251</v>
      </c>
      <c r="B81" s="28" t="s">
        <v>252</v>
      </c>
      <c r="C81" s="29" t="s">
        <v>215</v>
      </c>
      <c r="D81" s="30" t="s">
        <v>90</v>
      </c>
      <c r="E81" s="143">
        <v>1</v>
      </c>
      <c r="F81" s="144">
        <v>135498</v>
      </c>
      <c r="G81" s="145">
        <f t="shared" si="13"/>
        <v>135498</v>
      </c>
      <c r="H81" s="429"/>
      <c r="I81" s="450">
        <f t="shared" si="14"/>
        <v>135498</v>
      </c>
      <c r="J81" s="449">
        <v>181567.32</v>
      </c>
      <c r="K81" s="449">
        <f t="shared" si="15"/>
        <v>181567.32</v>
      </c>
      <c r="L81" s="449">
        <f t="shared" si="16"/>
        <v>135498</v>
      </c>
      <c r="M81" s="466">
        <f t="shared" si="18"/>
        <v>181567</v>
      </c>
      <c r="N81" s="421">
        <f t="shared" si="17"/>
        <v>0.32000000000698492</v>
      </c>
    </row>
    <row r="82" spans="1:14" x14ac:dyDescent="0.25">
      <c r="A82" s="27" t="s">
        <v>253</v>
      </c>
      <c r="B82" s="28" t="s">
        <v>254</v>
      </c>
      <c r="C82" s="29" t="s">
        <v>255</v>
      </c>
      <c r="D82" s="30" t="s">
        <v>90</v>
      </c>
      <c r="E82" s="143">
        <v>2</v>
      </c>
      <c r="F82" s="144">
        <v>142003</v>
      </c>
      <c r="G82" s="145">
        <f t="shared" si="13"/>
        <v>284006</v>
      </c>
      <c r="H82" s="429"/>
      <c r="I82" s="450">
        <f t="shared" si="14"/>
        <v>142003</v>
      </c>
      <c r="J82" s="449">
        <v>190284.02000000002</v>
      </c>
      <c r="K82" s="449">
        <f t="shared" si="15"/>
        <v>380568.04000000004</v>
      </c>
      <c r="L82" s="449">
        <f t="shared" si="16"/>
        <v>284006</v>
      </c>
      <c r="M82" s="466">
        <f t="shared" si="18"/>
        <v>380568</v>
      </c>
      <c r="N82" s="421">
        <f t="shared" si="17"/>
        <v>4.0000000037252903E-2</v>
      </c>
    </row>
    <row r="83" spans="1:14" x14ac:dyDescent="0.25">
      <c r="A83" s="27" t="s">
        <v>256</v>
      </c>
      <c r="B83" s="28" t="s">
        <v>257</v>
      </c>
      <c r="C83" s="29" t="s">
        <v>258</v>
      </c>
      <c r="D83" s="30" t="s">
        <v>90</v>
      </c>
      <c r="E83" s="143">
        <v>36</v>
      </c>
      <c r="F83" s="144">
        <v>58047</v>
      </c>
      <c r="G83" s="145">
        <f t="shared" si="13"/>
        <v>2089692</v>
      </c>
      <c r="H83" s="429"/>
      <c r="I83" s="450">
        <f t="shared" si="14"/>
        <v>58047</v>
      </c>
      <c r="J83" s="449">
        <v>77782.98000000001</v>
      </c>
      <c r="K83" s="449">
        <f>+J83*E83</f>
        <v>2800187.2800000003</v>
      </c>
      <c r="L83" s="449">
        <f t="shared" si="16"/>
        <v>2089692</v>
      </c>
      <c r="M83" s="466">
        <f t="shared" si="18"/>
        <v>2800187</v>
      </c>
      <c r="N83" s="421">
        <f t="shared" si="17"/>
        <v>0.28000000026077032</v>
      </c>
    </row>
    <row r="84" spans="1:14" x14ac:dyDescent="0.25">
      <c r="A84" s="27" t="s">
        <v>259</v>
      </c>
      <c r="B84" s="28" t="s">
        <v>260</v>
      </c>
      <c r="C84" s="29" t="s">
        <v>261</v>
      </c>
      <c r="D84" s="30" t="s">
        <v>90</v>
      </c>
      <c r="E84" s="143">
        <v>7</v>
      </c>
      <c r="F84" s="144">
        <v>614372</v>
      </c>
      <c r="G84" s="145">
        <f t="shared" si="13"/>
        <v>4300604</v>
      </c>
      <c r="H84" s="429"/>
      <c r="I84" s="450">
        <f t="shared" si="14"/>
        <v>614372</v>
      </c>
      <c r="J84" s="449">
        <v>823258.4800000001</v>
      </c>
      <c r="K84" s="449">
        <f t="shared" si="15"/>
        <v>5762809.3600000003</v>
      </c>
      <c r="L84" s="449">
        <f t="shared" si="16"/>
        <v>4300604</v>
      </c>
      <c r="M84" s="466">
        <f t="shared" si="18"/>
        <v>5762809</v>
      </c>
      <c r="N84" s="421">
        <f t="shared" si="17"/>
        <v>0.36000000033527613</v>
      </c>
    </row>
    <row r="85" spans="1:14" x14ac:dyDescent="0.25">
      <c r="A85" s="27" t="s">
        <v>262</v>
      </c>
      <c r="B85" s="28" t="s">
        <v>263</v>
      </c>
      <c r="C85" s="29" t="s">
        <v>264</v>
      </c>
      <c r="D85" s="30" t="s">
        <v>90</v>
      </c>
      <c r="E85" s="143">
        <v>34</v>
      </c>
      <c r="F85" s="144">
        <v>72187</v>
      </c>
      <c r="G85" s="145">
        <f t="shared" si="13"/>
        <v>2454358</v>
      </c>
      <c r="H85" s="429"/>
      <c r="I85" s="450">
        <f t="shared" si="14"/>
        <v>72187</v>
      </c>
      <c r="J85" s="449">
        <v>96730.58</v>
      </c>
      <c r="K85" s="449">
        <f t="shared" si="15"/>
        <v>3288839.72</v>
      </c>
      <c r="L85" s="449">
        <f t="shared" si="16"/>
        <v>2454358</v>
      </c>
      <c r="M85" s="466">
        <f t="shared" si="18"/>
        <v>3288840</v>
      </c>
      <c r="N85" s="421">
        <f t="shared" si="17"/>
        <v>-0.27999999979510903</v>
      </c>
    </row>
    <row r="86" spans="1:14" x14ac:dyDescent="0.25">
      <c r="A86" s="27" t="s">
        <v>265</v>
      </c>
      <c r="B86" s="28" t="s">
        <v>266</v>
      </c>
      <c r="C86" s="29" t="s">
        <v>267</v>
      </c>
      <c r="D86" s="30" t="s">
        <v>90</v>
      </c>
      <c r="E86" s="143">
        <v>12</v>
      </c>
      <c r="F86" s="144">
        <v>410673</v>
      </c>
      <c r="G86" s="145">
        <f t="shared" si="13"/>
        <v>4928076</v>
      </c>
      <c r="H86" s="429"/>
      <c r="I86" s="450">
        <f t="shared" si="14"/>
        <v>410673</v>
      </c>
      <c r="J86" s="449">
        <v>550301.82000000007</v>
      </c>
      <c r="K86" s="449">
        <f t="shared" si="15"/>
        <v>6603621.8400000008</v>
      </c>
      <c r="L86" s="449">
        <f t="shared" si="16"/>
        <v>4928076</v>
      </c>
      <c r="M86" s="466">
        <f t="shared" si="18"/>
        <v>6603622</v>
      </c>
      <c r="N86" s="421">
        <f t="shared" si="17"/>
        <v>-0.15999999921768904</v>
      </c>
    </row>
    <row r="87" spans="1:14" x14ac:dyDescent="0.25">
      <c r="A87" s="27" t="s">
        <v>268</v>
      </c>
      <c r="B87" s="28" t="s">
        <v>269</v>
      </c>
      <c r="C87" s="29" t="s">
        <v>270</v>
      </c>
      <c r="D87" s="30" t="s">
        <v>90</v>
      </c>
      <c r="E87" s="143">
        <v>3</v>
      </c>
      <c r="F87" s="144">
        <v>16188</v>
      </c>
      <c r="G87" s="145">
        <f t="shared" si="13"/>
        <v>48564</v>
      </c>
      <c r="H87" s="429"/>
      <c r="I87" s="450">
        <f t="shared" si="14"/>
        <v>16188</v>
      </c>
      <c r="J87" s="449">
        <v>21691.920000000002</v>
      </c>
      <c r="K87" s="449">
        <f t="shared" si="15"/>
        <v>65075.760000000009</v>
      </c>
      <c r="L87" s="449">
        <f t="shared" si="16"/>
        <v>48564</v>
      </c>
      <c r="M87" s="466">
        <f t="shared" si="18"/>
        <v>65076</v>
      </c>
      <c r="N87" s="421">
        <f t="shared" si="17"/>
        <v>-0.23999999999068677</v>
      </c>
    </row>
    <row r="88" spans="1:14" x14ac:dyDescent="0.25">
      <c r="A88" s="27" t="s">
        <v>271</v>
      </c>
      <c r="B88" s="28" t="s">
        <v>272</v>
      </c>
      <c r="C88" s="29" t="s">
        <v>273</v>
      </c>
      <c r="D88" s="30" t="s">
        <v>90</v>
      </c>
      <c r="E88" s="143">
        <v>5</v>
      </c>
      <c r="F88" s="144">
        <v>526560</v>
      </c>
      <c r="G88" s="145">
        <f t="shared" si="13"/>
        <v>2632800</v>
      </c>
      <c r="H88" s="429"/>
      <c r="I88" s="450">
        <f t="shared" si="14"/>
        <v>526560</v>
      </c>
      <c r="J88" s="449">
        <v>705590.4</v>
      </c>
      <c r="K88" s="449">
        <f t="shared" si="15"/>
        <v>3527952</v>
      </c>
      <c r="L88" s="449">
        <f t="shared" si="16"/>
        <v>2632800</v>
      </c>
      <c r="M88" s="466">
        <f t="shared" si="18"/>
        <v>3527952</v>
      </c>
      <c r="N88" s="421">
        <f t="shared" si="17"/>
        <v>0</v>
      </c>
    </row>
    <row r="89" spans="1:14" x14ac:dyDescent="0.25">
      <c r="A89" s="27" t="s">
        <v>274</v>
      </c>
      <c r="B89" s="28" t="s">
        <v>275</v>
      </c>
      <c r="C89" s="29" t="s">
        <v>276</v>
      </c>
      <c r="D89" s="30" t="s">
        <v>90</v>
      </c>
      <c r="E89" s="143">
        <v>3</v>
      </c>
      <c r="F89" s="144">
        <v>993787</v>
      </c>
      <c r="G89" s="145">
        <f t="shared" si="13"/>
        <v>2981361</v>
      </c>
      <c r="H89" s="429"/>
      <c r="I89" s="450">
        <f t="shared" si="14"/>
        <v>993787</v>
      </c>
      <c r="J89" s="449">
        <v>1331674.58</v>
      </c>
      <c r="K89" s="449">
        <f t="shared" si="15"/>
        <v>3995023.74</v>
      </c>
      <c r="L89" s="449">
        <f t="shared" si="16"/>
        <v>2981361</v>
      </c>
      <c r="M89" s="466">
        <f t="shared" si="18"/>
        <v>3995024</v>
      </c>
      <c r="N89" s="421">
        <f t="shared" si="17"/>
        <v>-0.25999999977648258</v>
      </c>
    </row>
    <row r="90" spans="1:14" x14ac:dyDescent="0.25">
      <c r="A90" s="27" t="s">
        <v>277</v>
      </c>
      <c r="B90" s="28" t="s">
        <v>278</v>
      </c>
      <c r="C90" s="29" t="s">
        <v>279</v>
      </c>
      <c r="D90" s="30" t="s">
        <v>90</v>
      </c>
      <c r="E90" s="143">
        <v>2</v>
      </c>
      <c r="F90" s="144">
        <v>138306</v>
      </c>
      <c r="G90" s="145">
        <f t="shared" si="13"/>
        <v>276612</v>
      </c>
      <c r="H90" s="429"/>
      <c r="I90" s="450">
        <f t="shared" si="14"/>
        <v>138306</v>
      </c>
      <c r="J90" s="449">
        <v>185330.04</v>
      </c>
      <c r="K90" s="449">
        <f t="shared" si="15"/>
        <v>370660.08</v>
      </c>
      <c r="L90" s="449">
        <f t="shared" si="16"/>
        <v>276612</v>
      </c>
      <c r="M90" s="466">
        <f t="shared" si="18"/>
        <v>370660</v>
      </c>
      <c r="N90" s="421">
        <f t="shared" si="17"/>
        <v>8.0000000016298145E-2</v>
      </c>
    </row>
    <row r="91" spans="1:14" x14ac:dyDescent="0.25">
      <c r="A91" s="27" t="s">
        <v>280</v>
      </c>
      <c r="B91" s="28" t="s">
        <v>281</v>
      </c>
      <c r="C91" s="29" t="s">
        <v>282</v>
      </c>
      <c r="D91" s="30" t="s">
        <v>90</v>
      </c>
      <c r="E91" s="143">
        <v>22</v>
      </c>
      <c r="F91" s="144">
        <v>652013</v>
      </c>
      <c r="G91" s="145">
        <f t="shared" si="13"/>
        <v>14344286</v>
      </c>
      <c r="H91" s="429"/>
      <c r="I91" s="450">
        <f t="shared" si="14"/>
        <v>652013</v>
      </c>
      <c r="J91" s="449">
        <v>873697.42</v>
      </c>
      <c r="K91" s="449">
        <f t="shared" si="15"/>
        <v>19221343.240000002</v>
      </c>
      <c r="L91" s="449">
        <f t="shared" si="16"/>
        <v>14344286</v>
      </c>
      <c r="M91" s="466">
        <f t="shared" si="18"/>
        <v>19221343</v>
      </c>
      <c r="N91" s="421">
        <f t="shared" si="17"/>
        <v>0.24000000208616257</v>
      </c>
    </row>
    <row r="92" spans="1:14" x14ac:dyDescent="0.25">
      <c r="A92" s="27" t="s">
        <v>283</v>
      </c>
      <c r="B92" s="28" t="s">
        <v>284</v>
      </c>
      <c r="C92" s="29" t="s">
        <v>285</v>
      </c>
      <c r="D92" s="30" t="s">
        <v>90</v>
      </c>
      <c r="E92" s="143">
        <v>13</v>
      </c>
      <c r="F92" s="144">
        <v>203933</v>
      </c>
      <c r="G92" s="145">
        <f t="shared" si="13"/>
        <v>2651129</v>
      </c>
      <c r="H92" s="429"/>
      <c r="I92" s="450">
        <f t="shared" si="14"/>
        <v>203933</v>
      </c>
      <c r="J92" s="449">
        <v>273270.22000000003</v>
      </c>
      <c r="K92" s="449">
        <f t="shared" si="15"/>
        <v>3552512.8600000003</v>
      </c>
      <c r="L92" s="449">
        <f t="shared" si="16"/>
        <v>2651129</v>
      </c>
      <c r="M92" s="466">
        <f t="shared" si="18"/>
        <v>3552513</v>
      </c>
      <c r="N92" s="421">
        <f t="shared" si="17"/>
        <v>-0.13999999966472387</v>
      </c>
    </row>
    <row r="93" spans="1:14" x14ac:dyDescent="0.25">
      <c r="A93" s="146"/>
      <c r="B93" s="147"/>
      <c r="C93" s="29"/>
      <c r="D93" s="30"/>
      <c r="E93" s="148"/>
      <c r="F93" s="144"/>
      <c r="G93" s="33"/>
      <c r="H93" s="39"/>
      <c r="I93" s="450"/>
      <c r="J93" s="449"/>
      <c r="K93" s="448"/>
      <c r="L93" s="448"/>
      <c r="M93" s="466">
        <f t="shared" si="18"/>
        <v>0</v>
      </c>
      <c r="N93" s="421">
        <f t="shared" si="17"/>
        <v>0</v>
      </c>
    </row>
    <row r="94" spans="1:14" ht="15.75" thickBot="1" x14ac:dyDescent="0.3">
      <c r="A94" s="152" t="s">
        <v>105</v>
      </c>
      <c r="B94" s="153"/>
      <c r="C94" s="154"/>
      <c r="D94" s="155"/>
      <c r="E94" s="156"/>
      <c r="F94" s="157" t="s">
        <v>368</v>
      </c>
      <c r="G94" s="169">
        <f>SUM(G52:G93)</f>
        <v>145066804</v>
      </c>
      <c r="H94" s="431"/>
      <c r="I94" s="450"/>
      <c r="J94" s="449"/>
      <c r="K94" s="448"/>
      <c r="L94" s="448"/>
      <c r="M94" s="466">
        <f t="shared" si="18"/>
        <v>0</v>
      </c>
      <c r="N94" s="421">
        <f t="shared" si="17"/>
        <v>0</v>
      </c>
    </row>
    <row r="95" spans="1:14" ht="23.1" customHeight="1" thickBot="1" x14ac:dyDescent="0.3">
      <c r="A95" s="80"/>
      <c r="B95" s="122"/>
      <c r="C95" s="123"/>
      <c r="D95" s="124"/>
      <c r="E95" s="164"/>
      <c r="F95" s="126"/>
      <c r="G95" s="127"/>
      <c r="H95" s="127"/>
      <c r="I95" s="450"/>
      <c r="J95" s="449"/>
      <c r="K95" s="448"/>
      <c r="L95" s="448"/>
      <c r="M95" s="466">
        <f t="shared" si="18"/>
        <v>0</v>
      </c>
      <c r="N95" s="421">
        <f t="shared" si="17"/>
        <v>0</v>
      </c>
    </row>
    <row r="96" spans="1:14" x14ac:dyDescent="0.25">
      <c r="A96" s="128" t="s">
        <v>98</v>
      </c>
      <c r="B96" s="129">
        <v>6</v>
      </c>
      <c r="C96" s="130" t="s">
        <v>286</v>
      </c>
      <c r="D96" s="131"/>
      <c r="E96" s="132"/>
      <c r="F96" s="133"/>
      <c r="G96" s="134">
        <f>SUM(G97:G101)</f>
        <v>38427590</v>
      </c>
      <c r="H96" s="428"/>
      <c r="I96" s="450"/>
      <c r="J96" s="449"/>
      <c r="K96" s="448"/>
      <c r="L96" s="448"/>
      <c r="M96" s="466">
        <f t="shared" si="18"/>
        <v>0</v>
      </c>
      <c r="N96" s="421">
        <f t="shared" si="17"/>
        <v>0</v>
      </c>
    </row>
    <row r="97" spans="1:14" x14ac:dyDescent="0.25">
      <c r="A97" s="27" t="s">
        <v>287</v>
      </c>
      <c r="B97" s="28" t="s">
        <v>288</v>
      </c>
      <c r="C97" s="29" t="s">
        <v>289</v>
      </c>
      <c r="D97" s="30" t="s">
        <v>90</v>
      </c>
      <c r="E97" s="143">
        <v>250</v>
      </c>
      <c r="F97" s="144">
        <v>30004</v>
      </c>
      <c r="G97" s="145">
        <f t="shared" ref="G97:G100" si="19">F97*E97</f>
        <v>7501000</v>
      </c>
      <c r="H97" s="429"/>
      <c r="I97" s="450">
        <f>+F97</f>
        <v>30004</v>
      </c>
      <c r="J97" s="449">
        <v>40205.360000000001</v>
      </c>
      <c r="K97" s="449">
        <f t="shared" ref="K97:K100" si="20">+J97*E97</f>
        <v>10051340</v>
      </c>
      <c r="L97" s="449">
        <f t="shared" ref="L97:L100" si="21">+I97*E97</f>
        <v>7501000</v>
      </c>
      <c r="M97" s="466">
        <f t="shared" si="18"/>
        <v>10051340</v>
      </c>
      <c r="N97" s="421">
        <f t="shared" si="17"/>
        <v>0</v>
      </c>
    </row>
    <row r="98" spans="1:14" x14ac:dyDescent="0.25">
      <c r="A98" s="27" t="s">
        <v>290</v>
      </c>
      <c r="B98" s="28" t="s">
        <v>291</v>
      </c>
      <c r="C98" s="29" t="s">
        <v>292</v>
      </c>
      <c r="D98" s="30" t="s">
        <v>90</v>
      </c>
      <c r="E98" s="143">
        <v>450</v>
      </c>
      <c r="F98" s="144">
        <v>29348</v>
      </c>
      <c r="G98" s="145">
        <f t="shared" si="19"/>
        <v>13206600</v>
      </c>
      <c r="H98" s="429"/>
      <c r="I98" s="450">
        <f>+F98</f>
        <v>29348</v>
      </c>
      <c r="J98" s="449">
        <v>39326.32</v>
      </c>
      <c r="K98" s="449">
        <f t="shared" si="20"/>
        <v>17696844</v>
      </c>
      <c r="L98" s="449">
        <f t="shared" si="21"/>
        <v>13206600</v>
      </c>
      <c r="M98" s="466">
        <f t="shared" si="18"/>
        <v>17696844</v>
      </c>
      <c r="N98" s="421">
        <f t="shared" si="17"/>
        <v>0</v>
      </c>
    </row>
    <row r="99" spans="1:14" x14ac:dyDescent="0.25">
      <c r="A99" s="27" t="s">
        <v>293</v>
      </c>
      <c r="B99" s="28" t="s">
        <v>294</v>
      </c>
      <c r="C99" s="29" t="s">
        <v>295</v>
      </c>
      <c r="D99" s="30" t="s">
        <v>90</v>
      </c>
      <c r="E99" s="143">
        <v>10</v>
      </c>
      <c r="F99" s="144">
        <v>43646</v>
      </c>
      <c r="G99" s="145">
        <f t="shared" si="19"/>
        <v>436460</v>
      </c>
      <c r="H99" s="429"/>
      <c r="I99" s="450">
        <f>+F99</f>
        <v>43646</v>
      </c>
      <c r="J99" s="449">
        <v>58485.640000000007</v>
      </c>
      <c r="K99" s="449">
        <f t="shared" si="20"/>
        <v>584856.4</v>
      </c>
      <c r="L99" s="449">
        <f t="shared" si="21"/>
        <v>436460</v>
      </c>
      <c r="M99" s="466">
        <f t="shared" si="18"/>
        <v>584856</v>
      </c>
      <c r="N99" s="421">
        <f t="shared" si="17"/>
        <v>0.40000000002328306</v>
      </c>
    </row>
    <row r="100" spans="1:14" x14ac:dyDescent="0.25">
      <c r="A100" s="27" t="s">
        <v>296</v>
      </c>
      <c r="B100" s="28" t="s">
        <v>297</v>
      </c>
      <c r="C100" s="29" t="s">
        <v>298</v>
      </c>
      <c r="D100" s="30" t="s">
        <v>90</v>
      </c>
      <c r="E100" s="143">
        <v>710</v>
      </c>
      <c r="F100" s="144">
        <v>24343</v>
      </c>
      <c r="G100" s="145">
        <f t="shared" si="19"/>
        <v>17283530</v>
      </c>
      <c r="H100" s="429"/>
      <c r="I100" s="450">
        <f>+F100</f>
        <v>24343</v>
      </c>
      <c r="J100" s="449">
        <v>32619.620000000003</v>
      </c>
      <c r="K100" s="449">
        <f t="shared" si="20"/>
        <v>23159930.200000003</v>
      </c>
      <c r="L100" s="449">
        <f t="shared" si="21"/>
        <v>17283530</v>
      </c>
      <c r="M100" s="466">
        <f t="shared" si="18"/>
        <v>23159930</v>
      </c>
      <c r="N100" s="421">
        <f>K100-M100</f>
        <v>0.20000000298023224</v>
      </c>
    </row>
    <row r="101" spans="1:14" x14ac:dyDescent="0.25">
      <c r="A101" s="146"/>
      <c r="B101" s="147"/>
      <c r="C101" s="29"/>
      <c r="D101" s="30"/>
      <c r="E101" s="148"/>
      <c r="F101" s="144"/>
      <c r="G101" s="33"/>
      <c r="H101" s="39"/>
      <c r="I101" s="450"/>
      <c r="J101" s="449">
        <v>0</v>
      </c>
      <c r="K101" s="448"/>
      <c r="L101" s="448"/>
      <c r="M101" s="466">
        <f t="shared" si="18"/>
        <v>0</v>
      </c>
      <c r="N101" s="421">
        <f t="shared" ref="N101:N132" si="22">K101-M101</f>
        <v>0</v>
      </c>
    </row>
    <row r="102" spans="1:14" ht="15.75" thickBot="1" x14ac:dyDescent="0.3">
      <c r="A102" s="152" t="s">
        <v>105</v>
      </c>
      <c r="B102" s="153"/>
      <c r="C102" s="154"/>
      <c r="D102" s="155"/>
      <c r="E102" s="156"/>
      <c r="F102" s="157" t="s">
        <v>369</v>
      </c>
      <c r="G102" s="169">
        <f>SUM(G97:G101)</f>
        <v>38427590</v>
      </c>
      <c r="H102" s="431"/>
      <c r="I102" s="450"/>
      <c r="J102" s="449"/>
      <c r="K102" s="448"/>
      <c r="L102" s="448"/>
      <c r="M102" s="466">
        <f t="shared" si="18"/>
        <v>0</v>
      </c>
      <c r="N102" s="421">
        <f t="shared" si="22"/>
        <v>0</v>
      </c>
    </row>
    <row r="103" spans="1:14" ht="23.1" customHeight="1" thickBot="1" x14ac:dyDescent="0.3">
      <c r="A103" s="80"/>
      <c r="B103" s="122"/>
      <c r="C103" s="123"/>
      <c r="D103" s="124"/>
      <c r="E103" s="164"/>
      <c r="F103" s="126"/>
      <c r="G103" s="127"/>
      <c r="H103" s="127"/>
      <c r="I103" s="450"/>
      <c r="J103" s="449"/>
      <c r="K103" s="448"/>
      <c r="L103" s="448"/>
      <c r="M103" s="466">
        <f t="shared" si="18"/>
        <v>0</v>
      </c>
      <c r="N103" s="421">
        <f t="shared" si="22"/>
        <v>0</v>
      </c>
    </row>
    <row r="104" spans="1:14" x14ac:dyDescent="0.25">
      <c r="A104" s="128" t="s">
        <v>98</v>
      </c>
      <c r="B104" s="129">
        <v>7</v>
      </c>
      <c r="C104" s="130" t="s">
        <v>299</v>
      </c>
      <c r="D104" s="131"/>
      <c r="E104" s="132"/>
      <c r="F104" s="133"/>
      <c r="G104" s="134">
        <f>SUM(G105:G112)</f>
        <v>677820893.56706405</v>
      </c>
      <c r="H104" s="428"/>
      <c r="I104" s="450"/>
      <c r="J104" s="449"/>
      <c r="K104" s="448"/>
      <c r="L104" s="448"/>
      <c r="M104" s="466">
        <f t="shared" si="18"/>
        <v>0</v>
      </c>
      <c r="N104" s="421">
        <f t="shared" si="22"/>
        <v>0</v>
      </c>
    </row>
    <row r="105" spans="1:14" x14ac:dyDescent="0.25">
      <c r="A105" s="187" t="s">
        <v>300</v>
      </c>
      <c r="B105" s="188"/>
      <c r="C105" s="189"/>
      <c r="D105" s="190"/>
      <c r="E105" s="191"/>
      <c r="F105" s="192"/>
      <c r="G105" s="193"/>
      <c r="H105" s="39"/>
      <c r="I105" s="450"/>
      <c r="J105" s="449"/>
      <c r="K105" s="448"/>
      <c r="L105" s="448"/>
      <c r="M105" s="466">
        <f t="shared" si="18"/>
        <v>0</v>
      </c>
      <c r="N105" s="421">
        <f t="shared" si="22"/>
        <v>0</v>
      </c>
    </row>
    <row r="106" spans="1:14" x14ac:dyDescent="0.25">
      <c r="A106" s="27" t="s">
        <v>301</v>
      </c>
      <c r="B106" s="28" t="s">
        <v>302</v>
      </c>
      <c r="C106" s="29" t="s">
        <v>303</v>
      </c>
      <c r="D106" s="30" t="s">
        <v>113</v>
      </c>
      <c r="E106" s="143">
        <v>4792</v>
      </c>
      <c r="F106" s="144">
        <v>129297</v>
      </c>
      <c r="G106" s="145">
        <f t="shared" ref="G106:G112" si="23">F106*E106</f>
        <v>619591224</v>
      </c>
      <c r="H106" s="429"/>
      <c r="I106" s="450">
        <f t="shared" ref="I106:I112" si="24">+F106</f>
        <v>129297</v>
      </c>
      <c r="J106" s="449">
        <v>173257.98</v>
      </c>
      <c r="K106" s="449">
        <f t="shared" ref="K106:K112" si="25">+J106*E106</f>
        <v>830252240.16000009</v>
      </c>
      <c r="L106" s="449">
        <f t="shared" ref="L106:L112" si="26">+I106*E106</f>
        <v>619591224</v>
      </c>
      <c r="M106" s="466">
        <f t="shared" si="18"/>
        <v>830252240</v>
      </c>
      <c r="N106" s="421">
        <f t="shared" si="22"/>
        <v>0.16000008583068848</v>
      </c>
    </row>
    <row r="107" spans="1:14" x14ac:dyDescent="0.25">
      <c r="A107" s="27" t="s">
        <v>304</v>
      </c>
      <c r="B107" s="28" t="s">
        <v>305</v>
      </c>
      <c r="C107" s="29" t="s">
        <v>306</v>
      </c>
      <c r="D107" s="30" t="s">
        <v>113</v>
      </c>
      <c r="E107" s="143">
        <v>923</v>
      </c>
      <c r="F107" s="144">
        <v>51386</v>
      </c>
      <c r="G107" s="145">
        <f t="shared" si="23"/>
        <v>47429278</v>
      </c>
      <c r="H107" s="429"/>
      <c r="I107" s="450">
        <f t="shared" si="24"/>
        <v>51386</v>
      </c>
      <c r="J107" s="449">
        <v>68857.240000000005</v>
      </c>
      <c r="K107" s="449">
        <f t="shared" si="25"/>
        <v>63555232.520000003</v>
      </c>
      <c r="L107" s="449">
        <f t="shared" si="26"/>
        <v>47429278</v>
      </c>
      <c r="M107" s="466">
        <f t="shared" si="18"/>
        <v>63555233</v>
      </c>
      <c r="N107" s="421">
        <f t="shared" si="22"/>
        <v>-0.47999999672174454</v>
      </c>
    </row>
    <row r="108" spans="1:14" x14ac:dyDescent="0.25">
      <c r="A108" s="27" t="s">
        <v>307</v>
      </c>
      <c r="B108" s="28" t="s">
        <v>308</v>
      </c>
      <c r="C108" s="29" t="s">
        <v>309</v>
      </c>
      <c r="D108" s="30" t="s">
        <v>125</v>
      </c>
      <c r="E108" s="143">
        <v>13</v>
      </c>
      <c r="F108" s="144">
        <v>378957</v>
      </c>
      <c r="G108" s="145">
        <f t="shared" si="23"/>
        <v>4926441</v>
      </c>
      <c r="H108" s="429"/>
      <c r="I108" s="450">
        <f t="shared" si="24"/>
        <v>378957</v>
      </c>
      <c r="J108" s="449">
        <v>507802.38</v>
      </c>
      <c r="K108" s="449">
        <f t="shared" si="25"/>
        <v>6601430.9400000004</v>
      </c>
      <c r="L108" s="449">
        <f t="shared" si="26"/>
        <v>4926441</v>
      </c>
      <c r="M108" s="466">
        <f t="shared" si="18"/>
        <v>6601431</v>
      </c>
      <c r="N108" s="421">
        <f t="shared" si="22"/>
        <v>-5.9999999590218067E-2</v>
      </c>
    </row>
    <row r="109" spans="1:14" x14ac:dyDescent="0.25">
      <c r="A109" s="167"/>
      <c r="B109" s="28" t="s">
        <v>310</v>
      </c>
      <c r="C109" s="29" t="str">
        <f>+'[3]APUS '!C2369</f>
        <v xml:space="preserve">PILOTE  EN CONCRETO 3100 PSI </v>
      </c>
      <c r="D109" s="30" t="s">
        <v>125</v>
      </c>
      <c r="E109" s="143">
        <v>3.0159360000000008</v>
      </c>
      <c r="F109" s="144">
        <v>596555</v>
      </c>
      <c r="G109" s="145">
        <f t="shared" si="23"/>
        <v>1799171.7004800006</v>
      </c>
      <c r="H109" s="429"/>
      <c r="I109" s="450">
        <f t="shared" si="24"/>
        <v>596555</v>
      </c>
      <c r="J109" s="449">
        <v>799383.70000000007</v>
      </c>
      <c r="K109" s="449">
        <f t="shared" si="25"/>
        <v>2410890.0786432009</v>
      </c>
      <c r="L109" s="449">
        <f t="shared" si="26"/>
        <v>1799171.7004800006</v>
      </c>
      <c r="M109" s="466">
        <f t="shared" si="18"/>
        <v>2410890</v>
      </c>
      <c r="N109" s="421">
        <f t="shared" si="22"/>
        <v>7.8643200919032097E-2</v>
      </c>
    </row>
    <row r="110" spans="1:14" x14ac:dyDescent="0.25">
      <c r="A110" s="167"/>
      <c r="B110" s="28" t="s">
        <v>311</v>
      </c>
      <c r="C110" s="29" t="str">
        <f>+'[3]APUS '!C2396</f>
        <v>PEDESTAL  EN CONCRETO 3100 PSI INC FOTMALETA</v>
      </c>
      <c r="D110" s="30" t="s">
        <v>125</v>
      </c>
      <c r="E110" s="143">
        <v>1.4629999999999999</v>
      </c>
      <c r="F110" s="144">
        <v>688017</v>
      </c>
      <c r="G110" s="145">
        <f t="shared" si="23"/>
        <v>1006568.8709999999</v>
      </c>
      <c r="H110" s="429"/>
      <c r="I110" s="450">
        <f t="shared" si="24"/>
        <v>688017</v>
      </c>
      <c r="J110" s="449">
        <v>921942.78</v>
      </c>
      <c r="K110" s="449">
        <f t="shared" si="25"/>
        <v>1348802.2871399999</v>
      </c>
      <c r="L110" s="449">
        <f t="shared" si="26"/>
        <v>1006568.8709999999</v>
      </c>
      <c r="M110" s="466">
        <f t="shared" si="18"/>
        <v>1348802</v>
      </c>
      <c r="N110" s="421">
        <f t="shared" si="22"/>
        <v>0.28713999991305172</v>
      </c>
    </row>
    <row r="111" spans="1:14" x14ac:dyDescent="0.25">
      <c r="A111" s="146"/>
      <c r="B111" s="147">
        <v>7.6</v>
      </c>
      <c r="C111" s="29" t="s">
        <v>312</v>
      </c>
      <c r="D111" s="30" t="s">
        <v>313</v>
      </c>
      <c r="E111" s="143">
        <v>24</v>
      </c>
      <c r="F111" s="144">
        <v>22604</v>
      </c>
      <c r="G111" s="145">
        <f t="shared" si="23"/>
        <v>542496</v>
      </c>
      <c r="H111" s="429"/>
      <c r="I111" s="450">
        <f t="shared" si="24"/>
        <v>22604</v>
      </c>
      <c r="J111" s="449">
        <v>30289.360000000001</v>
      </c>
      <c r="K111" s="449">
        <f t="shared" si="25"/>
        <v>726944.64</v>
      </c>
      <c r="L111" s="449">
        <f t="shared" si="26"/>
        <v>542496</v>
      </c>
      <c r="M111" s="466">
        <f t="shared" si="18"/>
        <v>726945</v>
      </c>
      <c r="N111" s="421">
        <f t="shared" si="22"/>
        <v>-0.35999999998603016</v>
      </c>
    </row>
    <row r="112" spans="1:14" x14ac:dyDescent="0.25">
      <c r="A112" s="199"/>
      <c r="B112" s="147">
        <v>7.7</v>
      </c>
      <c r="C112" s="29" t="s">
        <v>314</v>
      </c>
      <c r="D112" s="30" t="s">
        <v>315</v>
      </c>
      <c r="E112" s="148">
        <v>512.003648</v>
      </c>
      <c r="F112" s="144">
        <v>4933</v>
      </c>
      <c r="G112" s="145">
        <f t="shared" si="23"/>
        <v>2525713.9955839999</v>
      </c>
      <c r="H112" s="429"/>
      <c r="I112" s="450">
        <f t="shared" si="24"/>
        <v>4933</v>
      </c>
      <c r="J112" s="449">
        <v>6610.22</v>
      </c>
      <c r="K112" s="449">
        <f t="shared" si="25"/>
        <v>3384456.7540825601</v>
      </c>
      <c r="L112" s="449">
        <f t="shared" si="26"/>
        <v>2525713.9955839999</v>
      </c>
      <c r="M112" s="466">
        <f t="shared" si="18"/>
        <v>3384457</v>
      </c>
      <c r="N112" s="421">
        <f t="shared" si="22"/>
        <v>-0.24591743992641568</v>
      </c>
    </row>
    <row r="113" spans="1:14" ht="15.75" thickBot="1" x14ac:dyDescent="0.3">
      <c r="A113" s="152" t="s">
        <v>105</v>
      </c>
      <c r="B113" s="153"/>
      <c r="C113" s="154"/>
      <c r="D113" s="155"/>
      <c r="E113" s="156"/>
      <c r="F113" s="157" t="s">
        <v>370</v>
      </c>
      <c r="G113" s="169">
        <f>SUM(G105:G112)</f>
        <v>677820893.56706405</v>
      </c>
      <c r="H113" s="431"/>
      <c r="I113" s="450"/>
      <c r="J113" s="449"/>
      <c r="K113" s="448"/>
      <c r="L113" s="448"/>
      <c r="M113" s="466">
        <f t="shared" si="18"/>
        <v>0</v>
      </c>
      <c r="N113" s="421">
        <f t="shared" si="22"/>
        <v>0</v>
      </c>
    </row>
    <row r="114" spans="1:14" ht="23.1" customHeight="1" thickBot="1" x14ac:dyDescent="0.3">
      <c r="A114" s="80"/>
      <c r="B114" s="122"/>
      <c r="C114" s="123"/>
      <c r="D114" s="124"/>
      <c r="E114" s="164"/>
      <c r="F114" s="126"/>
      <c r="G114" s="127"/>
      <c r="H114" s="127"/>
      <c r="I114" s="450"/>
      <c r="J114" s="449"/>
      <c r="K114" s="448"/>
      <c r="L114" s="448"/>
      <c r="M114" s="466">
        <f t="shared" si="18"/>
        <v>0</v>
      </c>
      <c r="N114" s="421">
        <f t="shared" si="22"/>
        <v>0</v>
      </c>
    </row>
    <row r="115" spans="1:14" x14ac:dyDescent="0.25">
      <c r="A115" s="128" t="s">
        <v>98</v>
      </c>
      <c r="B115" s="129">
        <v>8</v>
      </c>
      <c r="C115" s="130" t="s">
        <v>316</v>
      </c>
      <c r="D115" s="131"/>
      <c r="E115" s="132"/>
      <c r="F115" s="133"/>
      <c r="G115" s="134">
        <f>SUM(G116:G116)</f>
        <v>19226907.264288779</v>
      </c>
      <c r="H115" s="428"/>
      <c r="I115" s="450"/>
      <c r="J115" s="449"/>
      <c r="K115" s="448"/>
      <c r="L115" s="448"/>
      <c r="M115" s="466">
        <f t="shared" si="18"/>
        <v>0</v>
      </c>
      <c r="N115" s="421">
        <f t="shared" si="22"/>
        <v>0</v>
      </c>
    </row>
    <row r="116" spans="1:14" ht="25.5" x14ac:dyDescent="0.25">
      <c r="A116" s="27" t="s">
        <v>317</v>
      </c>
      <c r="B116" s="28" t="s">
        <v>318</v>
      </c>
      <c r="C116" s="29" t="s">
        <v>319</v>
      </c>
      <c r="D116" s="30" t="s">
        <v>320</v>
      </c>
      <c r="E116" s="143">
        <v>883.54888398000003</v>
      </c>
      <c r="F116" s="144">
        <v>21761</v>
      </c>
      <c r="G116" s="145">
        <f t="shared" ref="G116" si="27">F116*E116</f>
        <v>19226907.264288779</v>
      </c>
      <c r="H116" s="429"/>
      <c r="I116" s="450">
        <f>+F116</f>
        <v>21761</v>
      </c>
      <c r="J116" s="449">
        <v>29159.74</v>
      </c>
      <c r="K116" s="449">
        <f>+J116*E116</f>
        <v>25764055.734146968</v>
      </c>
      <c r="L116" s="449">
        <f>+I116*E116</f>
        <v>19226907.264288779</v>
      </c>
      <c r="M116" s="466">
        <f t="shared" si="18"/>
        <v>25764056</v>
      </c>
      <c r="N116" s="421">
        <f t="shared" si="22"/>
        <v>-0.26585303246974945</v>
      </c>
    </row>
    <row r="117" spans="1:14" ht="15.75" thickBot="1" x14ac:dyDescent="0.3">
      <c r="A117" s="152" t="s">
        <v>105</v>
      </c>
      <c r="B117" s="153"/>
      <c r="C117" s="154"/>
      <c r="D117" s="155"/>
      <c r="E117" s="156"/>
      <c r="F117" s="157" t="s">
        <v>371</v>
      </c>
      <c r="G117" s="169">
        <f>SUM(G116:G116)</f>
        <v>19226907.264288779</v>
      </c>
      <c r="H117" s="431"/>
      <c r="I117" s="450"/>
      <c r="J117" s="449"/>
      <c r="K117" s="448"/>
      <c r="L117" s="448"/>
      <c r="M117" s="466">
        <f t="shared" si="18"/>
        <v>0</v>
      </c>
      <c r="N117" s="421">
        <f t="shared" si="22"/>
        <v>0</v>
      </c>
    </row>
    <row r="118" spans="1:14" x14ac:dyDescent="0.25">
      <c r="A118" s="80"/>
      <c r="B118" s="122"/>
      <c r="C118" s="123"/>
      <c r="D118" s="124"/>
      <c r="E118" s="164"/>
      <c r="F118" s="126"/>
      <c r="G118" s="127"/>
      <c r="H118" s="127"/>
      <c r="I118" s="450"/>
      <c r="J118" s="449"/>
      <c r="K118" s="448"/>
      <c r="L118" s="448"/>
      <c r="M118" s="466">
        <f t="shared" si="18"/>
        <v>0</v>
      </c>
      <c r="N118" s="421">
        <f t="shared" si="22"/>
        <v>0</v>
      </c>
    </row>
    <row r="119" spans="1:14" s="84" customFormat="1" x14ac:dyDescent="0.25">
      <c r="A119" s="210"/>
      <c r="B119" s="122"/>
      <c r="C119" s="211"/>
      <c r="D119" s="124"/>
      <c r="E119" s="164"/>
      <c r="F119" s="126"/>
      <c r="G119" s="212"/>
      <c r="H119" s="212"/>
      <c r="I119" s="450"/>
      <c r="J119" s="449"/>
      <c r="K119" s="446"/>
      <c r="L119" s="446"/>
      <c r="M119" s="466">
        <f t="shared" si="18"/>
        <v>0</v>
      </c>
      <c r="N119" s="421">
        <f t="shared" si="22"/>
        <v>0</v>
      </c>
    </row>
    <row r="120" spans="1:14" s="229" customFormat="1" x14ac:dyDescent="0.25">
      <c r="A120" s="214" t="s">
        <v>321</v>
      </c>
      <c r="B120" s="215"/>
      <c r="C120" s="216"/>
      <c r="D120" s="217"/>
      <c r="E120" s="218"/>
      <c r="F120" s="219" t="s">
        <v>335</v>
      </c>
      <c r="G120" s="220">
        <f>+ROUND(G117+G113+G102+G94+G49+G39+G25+G17,0)</f>
        <v>1782689281</v>
      </c>
      <c r="H120" s="434"/>
      <c r="I120" s="450"/>
      <c r="J120" s="449"/>
      <c r="L120" s="459">
        <f>SUM(L15:L117)</f>
        <v>1782689280.5163391</v>
      </c>
      <c r="M120" s="466">
        <f t="shared" si="18"/>
        <v>2388803636</v>
      </c>
      <c r="N120" s="421">
        <f t="shared" si="22"/>
        <v>-2388803636</v>
      </c>
    </row>
    <row r="121" spans="1:14" s="229" customFormat="1" ht="15.75" thickBot="1" x14ac:dyDescent="0.3">
      <c r="A121" s="214"/>
      <c r="B121" s="215"/>
      <c r="C121" s="234"/>
      <c r="D121" s="234"/>
      <c r="E121" s="235"/>
      <c r="F121" s="236"/>
      <c r="G121" s="237"/>
      <c r="H121" s="237"/>
      <c r="I121" s="450"/>
      <c r="J121" s="449"/>
      <c r="K121" s="453"/>
      <c r="L121" s="453"/>
      <c r="M121" s="466">
        <f t="shared" si="18"/>
        <v>0</v>
      </c>
      <c r="N121" s="421">
        <f t="shared" si="22"/>
        <v>0</v>
      </c>
    </row>
    <row r="122" spans="1:14" s="229" customFormat="1" x14ac:dyDescent="0.25">
      <c r="A122" s="214"/>
      <c r="B122" s="129">
        <v>1</v>
      </c>
      <c r="C122" s="130" t="s">
        <v>322</v>
      </c>
      <c r="D122" s="131"/>
      <c r="E122" s="132"/>
      <c r="F122" s="133"/>
      <c r="G122" s="245">
        <f>+G127</f>
        <v>328103240</v>
      </c>
      <c r="H122" s="435"/>
      <c r="I122" s="450"/>
      <c r="J122" s="449"/>
      <c r="K122" s="453"/>
      <c r="L122" s="453"/>
      <c r="M122" s="466">
        <f t="shared" si="18"/>
        <v>0</v>
      </c>
      <c r="N122" s="421">
        <f t="shared" si="22"/>
        <v>0</v>
      </c>
    </row>
    <row r="123" spans="1:14" s="229" customFormat="1" x14ac:dyDescent="0.25">
      <c r="A123" s="214"/>
      <c r="B123" s="28" t="s">
        <v>102</v>
      </c>
      <c r="C123" s="29" t="s">
        <v>323</v>
      </c>
      <c r="D123" s="30" t="s">
        <v>104</v>
      </c>
      <c r="E123" s="143">
        <v>246</v>
      </c>
      <c r="F123" s="144">
        <v>129852</v>
      </c>
      <c r="G123" s="145">
        <f t="shared" ref="G123:G126" si="28">F123*E123</f>
        <v>31943592</v>
      </c>
      <c r="H123" s="429"/>
      <c r="I123" s="450">
        <f>+F123</f>
        <v>129852</v>
      </c>
      <c r="J123" s="449">
        <v>154523.88</v>
      </c>
      <c r="K123" s="449">
        <f t="shared" ref="K123:K125" si="29">+J123*E123</f>
        <v>38012874.480000004</v>
      </c>
      <c r="L123" s="449">
        <f t="shared" ref="L123:L126" si="30">+I123*E123</f>
        <v>31943592</v>
      </c>
      <c r="M123" s="466">
        <f>ROUND(L123*1.19,0)</f>
        <v>38012874</v>
      </c>
      <c r="N123" s="421">
        <f>K123-M123</f>
        <v>0.48000000417232513</v>
      </c>
    </row>
    <row r="124" spans="1:14" s="229" customFormat="1" x14ac:dyDescent="0.25">
      <c r="A124" s="214"/>
      <c r="B124" s="28" t="s">
        <v>324</v>
      </c>
      <c r="C124" s="29" t="s">
        <v>325</v>
      </c>
      <c r="D124" s="30" t="s">
        <v>104</v>
      </c>
      <c r="E124" s="143">
        <v>2800</v>
      </c>
      <c r="F124" s="144">
        <v>76660</v>
      </c>
      <c r="G124" s="145">
        <f t="shared" si="28"/>
        <v>214648000</v>
      </c>
      <c r="H124" s="429"/>
      <c r="I124" s="450">
        <f>+F124</f>
        <v>76660</v>
      </c>
      <c r="J124" s="449">
        <v>91225.4</v>
      </c>
      <c r="K124" s="449">
        <f t="shared" si="29"/>
        <v>255431119.99999997</v>
      </c>
      <c r="L124" s="449">
        <f t="shared" si="30"/>
        <v>214648000</v>
      </c>
      <c r="M124" s="466">
        <f t="shared" ref="M124:M132" si="31">ROUND(L124*1.19,0)</f>
        <v>255431120</v>
      </c>
      <c r="N124" s="421">
        <f t="shared" si="22"/>
        <v>0</v>
      </c>
    </row>
    <row r="125" spans="1:14" s="229" customFormat="1" x14ac:dyDescent="0.25">
      <c r="A125" s="214"/>
      <c r="B125" s="28" t="s">
        <v>326</v>
      </c>
      <c r="C125" s="29" t="s">
        <v>327</v>
      </c>
      <c r="D125" s="30" t="s">
        <v>104</v>
      </c>
      <c r="E125" s="143">
        <v>1720.58</v>
      </c>
      <c r="F125" s="144">
        <v>35013</v>
      </c>
      <c r="G125" s="145">
        <f t="shared" si="28"/>
        <v>60242667.539999999</v>
      </c>
      <c r="H125" s="429"/>
      <c r="I125" s="450">
        <f>+F125</f>
        <v>35013</v>
      </c>
      <c r="J125" s="449">
        <v>41665.47</v>
      </c>
      <c r="K125" s="449">
        <f t="shared" si="29"/>
        <v>71688774.372600004</v>
      </c>
      <c r="L125" s="449">
        <f t="shared" si="30"/>
        <v>60242667.539999999</v>
      </c>
      <c r="M125" s="466">
        <f t="shared" si="31"/>
        <v>71688774</v>
      </c>
      <c r="N125" s="421">
        <f t="shared" si="22"/>
        <v>0.3726000040769577</v>
      </c>
    </row>
    <row r="126" spans="1:14" s="229" customFormat="1" ht="60" customHeight="1" x14ac:dyDescent="0.25">
      <c r="A126" s="214"/>
      <c r="B126" s="172" t="s">
        <v>328</v>
      </c>
      <c r="C126" s="173" t="str">
        <f>+'[3]APUS '!C2701</f>
        <v>MACROMEDIDOR 8" FULL BORE, BRIDADO ANSI 150, PROTOCOLO HART ERROR MÁXIMO 0.2%, TOTALIZADORES INDEPENDIENTE, IP68, 24 VDC, AUTO DIAGNÓSTICO Y CALIBRACIÓN HEARBEAT</v>
      </c>
      <c r="D126" s="174" t="s">
        <v>90</v>
      </c>
      <c r="E126" s="175">
        <v>1</v>
      </c>
      <c r="F126" s="176">
        <v>21268980</v>
      </c>
      <c r="G126" s="145">
        <f t="shared" si="28"/>
        <v>21268980</v>
      </c>
      <c r="H126" s="433"/>
      <c r="I126" s="464">
        <f>+F126</f>
        <v>21268980</v>
      </c>
      <c r="J126" s="449">
        <v>25310086.199999999</v>
      </c>
      <c r="K126" s="465">
        <f>+J126*E126</f>
        <v>25310086.199999999</v>
      </c>
      <c r="L126" s="465">
        <f t="shared" si="30"/>
        <v>21268980</v>
      </c>
      <c r="M126" s="466">
        <f t="shared" si="31"/>
        <v>25310086</v>
      </c>
      <c r="N126" s="421">
        <f t="shared" si="22"/>
        <v>0.19999999925494194</v>
      </c>
    </row>
    <row r="127" spans="1:14" s="229" customFormat="1" ht="15.75" thickBot="1" x14ac:dyDescent="0.3">
      <c r="A127" s="214"/>
      <c r="B127" s="153"/>
      <c r="C127" s="154"/>
      <c r="D127" s="155"/>
      <c r="E127" s="156"/>
      <c r="F127" s="157" t="s">
        <v>329</v>
      </c>
      <c r="G127" s="246">
        <f>ROUND(SUM(G123:G126),0)</f>
        <v>328103240</v>
      </c>
      <c r="H127" s="436"/>
      <c r="I127" s="450"/>
      <c r="J127" s="449"/>
      <c r="K127" s="453"/>
      <c r="L127" s="453"/>
      <c r="M127" s="466">
        <f t="shared" si="31"/>
        <v>0</v>
      </c>
      <c r="N127" s="421">
        <f t="shared" si="22"/>
        <v>0</v>
      </c>
    </row>
    <row r="128" spans="1:14" s="229" customFormat="1" ht="15.75" thickBot="1" x14ac:dyDescent="0.3">
      <c r="A128" s="214"/>
      <c r="B128" s="122"/>
      <c r="C128" s="123"/>
      <c r="D128" s="124"/>
      <c r="E128" s="164"/>
      <c r="F128" s="126"/>
      <c r="G128" s="247"/>
      <c r="H128" s="247"/>
      <c r="I128" s="450"/>
      <c r="J128" s="449"/>
      <c r="K128" s="453"/>
      <c r="L128" s="453"/>
      <c r="M128" s="466">
        <f t="shared" si="31"/>
        <v>0</v>
      </c>
      <c r="N128" s="421">
        <f t="shared" si="22"/>
        <v>0</v>
      </c>
    </row>
    <row r="129" spans="1:14" s="229" customFormat="1" x14ac:dyDescent="0.25">
      <c r="A129" s="214"/>
      <c r="B129" s="129">
        <v>2</v>
      </c>
      <c r="C129" s="130" t="s">
        <v>330</v>
      </c>
      <c r="D129" s="131"/>
      <c r="E129" s="132"/>
      <c r="F129" s="133"/>
      <c r="G129" s="245">
        <f>+G134</f>
        <v>77196000</v>
      </c>
      <c r="H129" s="435"/>
      <c r="I129" s="450"/>
      <c r="J129" s="449"/>
      <c r="K129" s="453"/>
      <c r="L129" s="453"/>
      <c r="M129" s="466">
        <f t="shared" si="31"/>
        <v>0</v>
      </c>
      <c r="N129" s="421">
        <f t="shared" si="22"/>
        <v>0</v>
      </c>
    </row>
    <row r="130" spans="1:14" s="229" customFormat="1" x14ac:dyDescent="0.25">
      <c r="A130" s="214"/>
      <c r="B130" s="28" t="s">
        <v>331</v>
      </c>
      <c r="C130" s="29" t="s">
        <v>289</v>
      </c>
      <c r="D130" s="30" t="s">
        <v>90</v>
      </c>
      <c r="E130" s="143">
        <v>250</v>
      </c>
      <c r="F130" s="144">
        <v>120078</v>
      </c>
      <c r="G130" s="145">
        <f t="shared" ref="G130:G132" si="32">F130*E130</f>
        <v>30019500</v>
      </c>
      <c r="H130" s="429"/>
      <c r="I130" s="450">
        <f>+F130</f>
        <v>120078</v>
      </c>
      <c r="J130" s="449">
        <v>142892.82</v>
      </c>
      <c r="K130" s="449">
        <f t="shared" ref="K130:K132" si="33">+J130*E130</f>
        <v>35723205</v>
      </c>
      <c r="L130" s="449">
        <f t="shared" ref="L130:L132" si="34">+I130*E130</f>
        <v>30019500</v>
      </c>
      <c r="M130" s="466">
        <f t="shared" si="31"/>
        <v>35723205</v>
      </c>
      <c r="N130" s="421">
        <f t="shared" si="22"/>
        <v>0</v>
      </c>
    </row>
    <row r="131" spans="1:14" s="229" customFormat="1" x14ac:dyDescent="0.25">
      <c r="A131" s="214"/>
      <c r="B131" s="28" t="s">
        <v>332</v>
      </c>
      <c r="C131" s="29" t="s">
        <v>292</v>
      </c>
      <c r="D131" s="30" t="s">
        <v>90</v>
      </c>
      <c r="E131" s="143">
        <v>450</v>
      </c>
      <c r="F131" s="144">
        <v>101856</v>
      </c>
      <c r="G131" s="145">
        <f t="shared" si="32"/>
        <v>45835200</v>
      </c>
      <c r="H131" s="429"/>
      <c r="I131" s="450">
        <f>+F131</f>
        <v>101856</v>
      </c>
      <c r="J131" s="449">
        <v>121208.64</v>
      </c>
      <c r="K131" s="449">
        <f t="shared" si="33"/>
        <v>54543888</v>
      </c>
      <c r="L131" s="449">
        <f t="shared" si="34"/>
        <v>45835200</v>
      </c>
      <c r="M131" s="466">
        <f t="shared" si="31"/>
        <v>54543888</v>
      </c>
      <c r="N131" s="421">
        <f t="shared" si="22"/>
        <v>0</v>
      </c>
    </row>
    <row r="132" spans="1:14" s="229" customFormat="1" x14ac:dyDescent="0.25">
      <c r="A132" s="214"/>
      <c r="B132" s="28" t="s">
        <v>333</v>
      </c>
      <c r="C132" s="29" t="s">
        <v>295</v>
      </c>
      <c r="D132" s="30" t="s">
        <v>90</v>
      </c>
      <c r="E132" s="143">
        <v>10</v>
      </c>
      <c r="F132" s="144">
        <v>134130</v>
      </c>
      <c r="G132" s="145">
        <f t="shared" si="32"/>
        <v>1341300</v>
      </c>
      <c r="H132" s="429"/>
      <c r="I132" s="450">
        <f>+F132</f>
        <v>134130</v>
      </c>
      <c r="J132" s="449">
        <v>159614.69999999998</v>
      </c>
      <c r="K132" s="449">
        <f t="shared" si="33"/>
        <v>1596146.9999999998</v>
      </c>
      <c r="L132" s="449">
        <f t="shared" si="34"/>
        <v>1341300</v>
      </c>
      <c r="M132" s="466">
        <f t="shared" si="31"/>
        <v>1596147</v>
      </c>
      <c r="N132" s="421">
        <f t="shared" si="22"/>
        <v>0</v>
      </c>
    </row>
    <row r="133" spans="1:14" s="229" customFormat="1" x14ac:dyDescent="0.25">
      <c r="A133" s="214"/>
      <c r="B133" s="147"/>
      <c r="C133" s="29"/>
      <c r="D133" s="30"/>
      <c r="E133" s="148"/>
      <c r="F133" s="144"/>
      <c r="G133" s="145"/>
      <c r="H133" s="429"/>
      <c r="I133" s="453"/>
      <c r="J133" s="454"/>
      <c r="K133" s="453"/>
      <c r="L133" s="453"/>
    </row>
    <row r="134" spans="1:14" s="229" customFormat="1" ht="15.75" thickBot="1" x14ac:dyDescent="0.3">
      <c r="A134" s="214"/>
      <c r="B134" s="153"/>
      <c r="C134" s="154"/>
      <c r="D134" s="155"/>
      <c r="E134" s="156"/>
      <c r="F134" s="157" t="s">
        <v>334</v>
      </c>
      <c r="G134" s="246">
        <f>ROUND(SUM(G130:G133),0)</f>
        <v>77196000</v>
      </c>
      <c r="H134" s="436"/>
      <c r="I134" s="453"/>
      <c r="J134" s="454"/>
      <c r="K134" s="453"/>
      <c r="L134" s="453"/>
    </row>
    <row r="135" spans="1:14" s="229" customFormat="1" x14ac:dyDescent="0.25">
      <c r="A135" s="214"/>
      <c r="B135" s="122"/>
      <c r="C135" s="123"/>
      <c r="D135" s="124"/>
      <c r="E135" s="164"/>
      <c r="F135" s="126"/>
      <c r="G135" s="247"/>
      <c r="H135" s="247"/>
      <c r="I135" s="453"/>
      <c r="J135" s="454"/>
      <c r="K135" s="453"/>
      <c r="L135" s="453"/>
    </row>
    <row r="136" spans="1:14" s="229" customFormat="1" x14ac:dyDescent="0.25">
      <c r="A136" s="214"/>
      <c r="B136" s="215"/>
      <c r="C136" s="216"/>
      <c r="D136" s="217"/>
      <c r="E136" s="218"/>
      <c r="F136" s="219" t="s">
        <v>335</v>
      </c>
      <c r="G136" s="248">
        <f>+G134+G127</f>
        <v>405299240</v>
      </c>
      <c r="H136" s="437"/>
      <c r="I136" s="453"/>
      <c r="J136" s="454"/>
      <c r="K136" s="453"/>
      <c r="L136" s="460">
        <f>SUM(L123:L135)</f>
        <v>405299239.54000002</v>
      </c>
    </row>
    <row r="137" spans="1:14" s="229" customFormat="1" x14ac:dyDescent="0.25">
      <c r="A137" s="214"/>
      <c r="B137" s="215"/>
      <c r="C137" s="234"/>
      <c r="D137" s="234"/>
      <c r="E137" s="235"/>
      <c r="F137" s="236"/>
      <c r="G137" s="237"/>
      <c r="H137" s="237"/>
      <c r="I137" s="453"/>
      <c r="J137" s="454"/>
      <c r="K137" s="453"/>
      <c r="L137" s="453"/>
    </row>
    <row r="138" spans="1:14" s="229" customFormat="1" x14ac:dyDescent="0.25">
      <c r="A138" s="214" t="s">
        <v>336</v>
      </c>
      <c r="B138" s="215"/>
      <c r="C138" s="249"/>
      <c r="D138" s="250"/>
      <c r="E138" s="251"/>
      <c r="F138" s="252" t="s">
        <v>337</v>
      </c>
      <c r="G138" s="253">
        <f>+G120</f>
        <v>1782689281</v>
      </c>
      <c r="H138" s="438"/>
      <c r="I138" s="453"/>
      <c r="J138" s="454"/>
      <c r="K138" s="453"/>
      <c r="L138" s="453"/>
    </row>
    <row r="139" spans="1:14" s="84" customFormat="1" x14ac:dyDescent="0.25">
      <c r="A139" s="80"/>
      <c r="B139" s="268"/>
      <c r="C139" s="269"/>
      <c r="D139" s="270"/>
      <c r="E139" s="125"/>
      <c r="F139" s="271"/>
      <c r="G139" s="272"/>
      <c r="H139" s="272"/>
      <c r="I139" s="446"/>
      <c r="J139" s="447"/>
      <c r="K139" s="446"/>
      <c r="L139" s="446"/>
    </row>
    <row r="140" spans="1:14" s="229" customFormat="1" x14ac:dyDescent="0.25">
      <c r="A140" s="214" t="s">
        <v>338</v>
      </c>
      <c r="B140" s="215"/>
      <c r="C140" s="249"/>
      <c r="D140" s="250"/>
      <c r="E140" s="251"/>
      <c r="F140" s="252" t="s">
        <v>339</v>
      </c>
      <c r="G140" s="253">
        <f>+$G$136</f>
        <v>405299240</v>
      </c>
      <c r="H140" s="438"/>
      <c r="I140" s="453"/>
      <c r="J140" s="454"/>
      <c r="K140" s="453"/>
      <c r="L140" s="453"/>
    </row>
    <row r="141" spans="1:14" s="84" customFormat="1" ht="23.25" customHeight="1" x14ac:dyDescent="0.25">
      <c r="A141" s="80"/>
      <c r="B141" s="268"/>
      <c r="C141" s="269"/>
      <c r="D141" s="270"/>
      <c r="E141" s="125"/>
      <c r="F141" s="271"/>
      <c r="G141" s="281"/>
      <c r="H141" s="281"/>
      <c r="I141" s="446"/>
      <c r="J141" s="447"/>
      <c r="K141" s="446"/>
      <c r="L141" s="446"/>
    </row>
    <row r="142" spans="1:14" s="84" customFormat="1" ht="15" customHeight="1" x14ac:dyDescent="0.25">
      <c r="A142" s="282" t="s">
        <v>340</v>
      </c>
      <c r="B142" s="268"/>
      <c r="C142" s="283" t="s">
        <v>341</v>
      </c>
      <c r="D142" s="284"/>
      <c r="E142" s="285"/>
      <c r="F142" s="286"/>
      <c r="G142" s="287"/>
      <c r="H142" s="439"/>
      <c r="I142" s="446"/>
      <c r="J142" s="447"/>
      <c r="K142" s="446"/>
      <c r="L142" s="446"/>
    </row>
    <row r="143" spans="1:14" s="84" customFormat="1" x14ac:dyDescent="0.25">
      <c r="A143" s="293" t="s">
        <v>342</v>
      </c>
      <c r="B143" s="26"/>
      <c r="C143" s="294"/>
      <c r="D143" s="295"/>
      <c r="E143" s="296"/>
      <c r="F143" s="297" t="s">
        <v>337</v>
      </c>
      <c r="G143" s="298">
        <f>G138</f>
        <v>1782689281</v>
      </c>
      <c r="H143" s="440"/>
      <c r="I143" s="446"/>
      <c r="J143" s="447"/>
      <c r="K143" s="446"/>
      <c r="L143" s="461">
        <f>+L120</f>
        <v>1782689280.5163391</v>
      </c>
    </row>
    <row r="144" spans="1:14" s="84" customFormat="1" x14ac:dyDescent="0.25">
      <c r="A144" s="293" t="s">
        <v>343</v>
      </c>
      <c r="B144" s="26"/>
      <c r="C144" s="309"/>
      <c r="D144" s="310"/>
      <c r="E144" s="311" t="s">
        <v>344</v>
      </c>
      <c r="F144" s="312">
        <v>0.28000000000000003</v>
      </c>
      <c r="G144" s="313">
        <f>+$G$143*F144</f>
        <v>499152998.68000007</v>
      </c>
      <c r="H144" s="441"/>
      <c r="I144" s="446"/>
      <c r="J144" s="447"/>
      <c r="K144" s="446"/>
      <c r="L144" s="462">
        <f>+ROUND(F144*$L$143,0)</f>
        <v>499152999</v>
      </c>
    </row>
    <row r="145" spans="1:12" s="84" customFormat="1" x14ac:dyDescent="0.25">
      <c r="A145" s="293" t="s">
        <v>345</v>
      </c>
      <c r="B145" s="26"/>
      <c r="C145" s="324"/>
      <c r="D145" s="325"/>
      <c r="E145" s="326" t="s">
        <v>346</v>
      </c>
      <c r="F145" s="327">
        <v>0.01</v>
      </c>
      <c r="G145" s="313">
        <f t="shared" ref="G145:G146" si="35">+$G$143*F145</f>
        <v>17826892.809999999</v>
      </c>
      <c r="H145" s="441"/>
      <c r="I145" s="446"/>
      <c r="J145" s="447"/>
      <c r="K145" s="446"/>
      <c r="L145" s="462">
        <f t="shared" ref="L145:L146" si="36">+ROUND(F145*$L$143,0)</f>
        <v>17826893</v>
      </c>
    </row>
    <row r="146" spans="1:12" s="84" customFormat="1" x14ac:dyDescent="0.25">
      <c r="A146" s="293" t="s">
        <v>347</v>
      </c>
      <c r="B146" s="26"/>
      <c r="C146" s="324"/>
      <c r="D146" s="325"/>
      <c r="E146" s="326" t="s">
        <v>348</v>
      </c>
      <c r="F146" s="327">
        <v>0.05</v>
      </c>
      <c r="G146" s="313">
        <f t="shared" si="35"/>
        <v>89134464.050000012</v>
      </c>
      <c r="H146" s="441"/>
      <c r="I146" s="446"/>
      <c r="J146" s="447"/>
      <c r="K146" s="446"/>
      <c r="L146" s="462">
        <f t="shared" si="36"/>
        <v>89134464</v>
      </c>
    </row>
    <row r="147" spans="1:12" s="84" customFormat="1" x14ac:dyDescent="0.25">
      <c r="A147" s="293" t="s">
        <v>349</v>
      </c>
      <c r="B147" s="26"/>
      <c r="C147" s="335"/>
      <c r="D147" s="336"/>
      <c r="E147" s="337" t="s">
        <v>350</v>
      </c>
      <c r="F147" s="338">
        <f>SUM(F144:F146)</f>
        <v>0.34</v>
      </c>
      <c r="G147" s="339">
        <f>SUM(G144:G146)</f>
        <v>606114355.54000008</v>
      </c>
      <c r="H147" s="442"/>
      <c r="I147" s="446"/>
      <c r="J147" s="447"/>
      <c r="K147" s="446"/>
      <c r="L147" s="462">
        <f>SUM(L144:L146)</f>
        <v>606114356</v>
      </c>
    </row>
    <row r="148" spans="1:12" s="84" customFormat="1" x14ac:dyDescent="0.25">
      <c r="A148" s="293" t="s">
        <v>351</v>
      </c>
      <c r="B148" s="26"/>
      <c r="C148" s="352"/>
      <c r="D148" s="353"/>
      <c r="E148" s="354"/>
      <c r="F148" s="355" t="s">
        <v>352</v>
      </c>
      <c r="G148" s="356">
        <f>G143+G147</f>
        <v>2388803636.54</v>
      </c>
      <c r="H148" s="443"/>
      <c r="I148" s="446"/>
      <c r="J148" s="447"/>
      <c r="K148" s="446"/>
      <c r="L148" s="455">
        <f>SUM(L143:L146)</f>
        <v>2388803636.5163393</v>
      </c>
    </row>
    <row r="149" spans="1:12" s="84" customFormat="1" x14ac:dyDescent="0.25">
      <c r="A149" s="366"/>
      <c r="B149" s="26"/>
      <c r="C149" s="26"/>
      <c r="D149" s="26"/>
      <c r="E149" s="367"/>
      <c r="F149" s="368"/>
      <c r="G149" s="369"/>
      <c r="H149" s="369"/>
      <c r="I149" s="446"/>
      <c r="J149" s="447"/>
      <c r="K149" s="446"/>
      <c r="L149" s="446"/>
    </row>
    <row r="150" spans="1:12" s="84" customFormat="1" ht="15" customHeight="1" x14ac:dyDescent="0.25">
      <c r="A150" s="282" t="s">
        <v>353</v>
      </c>
      <c r="B150" s="268"/>
      <c r="C150" s="283" t="s">
        <v>354</v>
      </c>
      <c r="D150" s="284"/>
      <c r="E150" s="285"/>
      <c r="F150" s="286"/>
      <c r="G150" s="287"/>
      <c r="H150" s="439"/>
      <c r="I150" s="446"/>
      <c r="J150" s="447"/>
      <c r="K150" s="446"/>
      <c r="L150" s="446"/>
    </row>
    <row r="151" spans="1:12" s="84" customFormat="1" x14ac:dyDescent="0.25">
      <c r="A151" s="293" t="s">
        <v>355</v>
      </c>
      <c r="B151" s="26"/>
      <c r="C151" s="294"/>
      <c r="D151" s="295"/>
      <c r="E151" s="296"/>
      <c r="F151" s="297" t="s">
        <v>339</v>
      </c>
      <c r="G151" s="371">
        <f>G140</f>
        <v>405299240</v>
      </c>
      <c r="H151" s="444"/>
      <c r="I151" s="446"/>
      <c r="J151" s="447"/>
      <c r="K151" s="446"/>
      <c r="L151" s="463">
        <f>+L136</f>
        <v>405299239.54000002</v>
      </c>
    </row>
    <row r="152" spans="1:12" s="84" customFormat="1" x14ac:dyDescent="0.25">
      <c r="A152" s="293" t="s">
        <v>356</v>
      </c>
      <c r="B152" s="26"/>
      <c r="C152" s="309"/>
      <c r="D152" s="310"/>
      <c r="E152" s="311" t="s">
        <v>344</v>
      </c>
      <c r="F152" s="376">
        <v>0.19000000000000003</v>
      </c>
      <c r="G152" s="377">
        <f>G151*F152</f>
        <v>77006855.600000009</v>
      </c>
      <c r="H152" s="445"/>
      <c r="I152" s="446"/>
      <c r="J152" s="447"/>
      <c r="K152" s="446"/>
      <c r="L152" s="447">
        <f>+ROUND(L151*F152,0)</f>
        <v>77006856</v>
      </c>
    </row>
    <row r="153" spans="1:12" s="84" customFormat="1" x14ac:dyDescent="0.25">
      <c r="A153" s="293" t="s">
        <v>357</v>
      </c>
      <c r="B153" s="26"/>
      <c r="C153" s="352"/>
      <c r="D153" s="353"/>
      <c r="E153" s="354"/>
      <c r="F153" s="355" t="s">
        <v>358</v>
      </c>
      <c r="G153" s="356">
        <f>G151+G152</f>
        <v>482306095.60000002</v>
      </c>
      <c r="H153" s="443"/>
      <c r="I153" s="446"/>
      <c r="J153" s="447"/>
      <c r="K153" s="446"/>
      <c r="L153" s="455">
        <f>SUM(L151:L152)</f>
        <v>482306095.54000002</v>
      </c>
    </row>
    <row r="154" spans="1:12" s="84" customFormat="1" x14ac:dyDescent="0.25">
      <c r="A154" s="366"/>
      <c r="B154" s="26"/>
      <c r="C154" s="26"/>
      <c r="D154" s="26"/>
      <c r="E154" s="367"/>
      <c r="F154" s="368"/>
      <c r="G154" s="369"/>
      <c r="H154" s="369"/>
      <c r="I154" s="446"/>
      <c r="J154" s="447"/>
      <c r="K154" s="446"/>
      <c r="L154" s="446"/>
    </row>
    <row r="155" spans="1:12" x14ac:dyDescent="0.25">
      <c r="A155" s="387"/>
      <c r="C155" s="352"/>
      <c r="D155" s="353"/>
      <c r="E155" s="354"/>
      <c r="F155" s="355" t="s">
        <v>359</v>
      </c>
      <c r="G155" s="356">
        <f>+G153+G148</f>
        <v>2871109732.1399999</v>
      </c>
      <c r="H155" s="443"/>
      <c r="I155" s="448"/>
      <c r="J155" s="449"/>
      <c r="K155" s="455">
        <f>SUM(K15:K154)</f>
        <v>2871109730.9444938</v>
      </c>
      <c r="L155" s="455">
        <f>+L153+L148</f>
        <v>2871109732.0563393</v>
      </c>
    </row>
    <row r="156" spans="1:12" x14ac:dyDescent="0.25">
      <c r="A156" s="387"/>
      <c r="G156" s="356">
        <v>2871109732</v>
      </c>
      <c r="H156" s="443"/>
      <c r="I156" s="448"/>
      <c r="J156" s="449"/>
      <c r="K156" s="456">
        <f>+G155-K155</f>
        <v>1.1955060958862305</v>
      </c>
      <c r="L156" s="456">
        <f>+G155-L155</f>
        <v>8.3660602569580078E-2</v>
      </c>
    </row>
    <row r="157" spans="1:12" s="84" customFormat="1" x14ac:dyDescent="0.25">
      <c r="A157" s="387"/>
      <c r="B157" s="26"/>
      <c r="C157" s="26"/>
      <c r="D157" s="26"/>
      <c r="E157" s="367"/>
      <c r="F157" s="391"/>
      <c r="G157" s="392"/>
      <c r="H157" s="392"/>
      <c r="J157" s="412"/>
    </row>
    <row r="158" spans="1:12" s="84" customFormat="1" x14ac:dyDescent="0.25">
      <c r="A158" s="387"/>
      <c r="B158" s="26"/>
      <c r="C158" s="26"/>
      <c r="D158" s="26"/>
      <c r="E158" s="367"/>
      <c r="F158" s="391"/>
      <c r="G158" s="392"/>
      <c r="H158" s="392"/>
      <c r="J158" s="412"/>
    </row>
    <row r="159" spans="1:12" s="84" customFormat="1" x14ac:dyDescent="0.25">
      <c r="A159" s="387"/>
      <c r="B159" s="26"/>
      <c r="C159" s="26"/>
      <c r="D159" s="270"/>
      <c r="E159" s="125"/>
      <c r="F159" s="393"/>
      <c r="G159" s="39"/>
      <c r="H159" s="39"/>
      <c r="J159" s="412"/>
    </row>
    <row r="160" spans="1:12" s="84" customFormat="1" x14ac:dyDescent="0.25">
      <c r="A160" s="387"/>
      <c r="B160" s="26"/>
      <c r="C160" s="394"/>
      <c r="D160" s="270"/>
      <c r="E160" s="125"/>
      <c r="F160" s="393"/>
      <c r="G160" s="39"/>
      <c r="H160" s="39"/>
      <c r="J160" s="412"/>
    </row>
    <row r="161" spans="1:10" s="84" customFormat="1" x14ac:dyDescent="0.25">
      <c r="A161" s="387"/>
      <c r="B161" s="26"/>
      <c r="C161" s="394"/>
      <c r="D161" s="270"/>
      <c r="E161" s="125"/>
      <c r="F161" s="393"/>
      <c r="G161" s="39"/>
      <c r="H161" s="39"/>
      <c r="J161" s="412"/>
    </row>
    <row r="162" spans="1:10" s="84" customFormat="1" x14ac:dyDescent="0.25">
      <c r="A162" s="387"/>
      <c r="B162" s="395"/>
      <c r="C162" s="395"/>
      <c r="D162" s="26"/>
      <c r="E162" s="367"/>
      <c r="F162" s="391"/>
      <c r="G162" s="392"/>
      <c r="H162" s="392"/>
      <c r="J162" s="412"/>
    </row>
    <row r="163" spans="1:10" s="84" customFormat="1" ht="15.75" thickBot="1" x14ac:dyDescent="0.3">
      <c r="A163" s="396"/>
      <c r="B163" s="397" t="s">
        <v>360</v>
      </c>
      <c r="D163" s="26"/>
      <c r="E163" s="367"/>
      <c r="F163" s="391"/>
      <c r="G163" s="392"/>
      <c r="H163" s="392"/>
      <c r="J163" s="412"/>
    </row>
    <row r="164" spans="1:10" ht="15.75" thickTop="1" x14ac:dyDescent="0.25">
      <c r="B164" s="400" t="s">
        <v>361</v>
      </c>
      <c r="C164" s="26"/>
    </row>
    <row r="165" spans="1:10" x14ac:dyDescent="0.25">
      <c r="B165" s="401" t="s">
        <v>362</v>
      </c>
    </row>
    <row r="166" spans="1:10" x14ac:dyDescent="0.25">
      <c r="B166" s="401" t="s">
        <v>363</v>
      </c>
    </row>
  </sheetData>
  <mergeCells count="4">
    <mergeCell ref="B9:B10"/>
    <mergeCell ref="F1:F2"/>
    <mergeCell ref="B7:G8"/>
    <mergeCell ref="C9:G10"/>
  </mergeCells>
  <conditionalFormatting sqref="B9">
    <cfRule type="cellIs" dxfId="62" priority="91" stopIfTrue="1" operator="equal">
      <formula>"ESCRIBA AQUÍ EL NOMBRE DE LA OBRA"</formula>
    </cfRule>
  </conditionalFormatting>
  <conditionalFormatting sqref="G1:H1">
    <cfRule type="cellIs" dxfId="61" priority="93" stopIfTrue="1" operator="equal">
      <formula>"CHEQ. INSUMOS"</formula>
    </cfRule>
  </conditionalFormatting>
  <conditionalFormatting sqref="G2:H6">
    <cfRule type="cellIs" dxfId="60" priority="94" stopIfTrue="1" operator="equal">
      <formula>"CHEQ. INSUMOS"</formula>
    </cfRule>
  </conditionalFormatting>
  <conditionalFormatting sqref="G153:H153">
    <cfRule type="expression" dxfId="59" priority="86" stopIfTrue="1">
      <formula>"&gt;G29"</formula>
    </cfRule>
    <cfRule type="expression" dxfId="58" priority="87" stopIfTrue="1">
      <formula>"&lt;G29"""</formula>
    </cfRule>
  </conditionalFormatting>
  <conditionalFormatting sqref="G154:H154">
    <cfRule type="cellIs" dxfId="57" priority="88" stopIfTrue="1" operator="notEqual">
      <formula>0</formula>
    </cfRule>
    <cfRule type="cellIs" dxfId="56" priority="89" stopIfTrue="1" operator="equal">
      <formula>0</formula>
    </cfRule>
  </conditionalFormatting>
  <conditionalFormatting sqref="G148:H148">
    <cfRule type="expression" dxfId="55" priority="82" stopIfTrue="1">
      <formula>"&gt;G29"</formula>
    </cfRule>
    <cfRule type="expression" dxfId="54" priority="83" stopIfTrue="1">
      <formula>"&lt;G29"""</formula>
    </cfRule>
  </conditionalFormatting>
  <conditionalFormatting sqref="G149:H149">
    <cfRule type="cellIs" dxfId="53" priority="84" stopIfTrue="1" operator="notEqual">
      <formula>0</formula>
    </cfRule>
    <cfRule type="cellIs" dxfId="52" priority="85" stopIfTrue="1" operator="equal">
      <formula>0</formula>
    </cfRule>
  </conditionalFormatting>
  <conditionalFormatting sqref="BO1"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B14:C14">
    <cfRule type="cellIs" dxfId="49" priority="69" operator="equal">
      <formula>"ESCRIBA AQUÍ EL NOMBRE DEL CAPITULO"</formula>
    </cfRule>
  </conditionalFormatting>
  <conditionalFormatting sqref="B19:C19">
    <cfRule type="cellIs" dxfId="48" priority="65" operator="equal">
      <formula>"ESCRIBA AQUÍ EL NOMBRE DEL CAPITULO"</formula>
    </cfRule>
  </conditionalFormatting>
  <conditionalFormatting sqref="B27:C27">
    <cfRule type="cellIs" dxfId="47" priority="61" operator="equal">
      <formula>"ESCRIBA AQUÍ EL NOMBRE DEL CAPITULO"</formula>
    </cfRule>
  </conditionalFormatting>
  <conditionalFormatting sqref="B41:C41">
    <cfRule type="cellIs" dxfId="46" priority="57" operator="equal">
      <formula>"ESCRIBA AQUÍ EL NOMBRE DEL CAPITULO"</formula>
    </cfRule>
  </conditionalFormatting>
  <conditionalFormatting sqref="B51:C51">
    <cfRule type="cellIs" dxfId="45" priority="53" operator="equal">
      <formula>"ESCRIBA AQUÍ EL NOMBRE DEL CAPITULO"</formula>
    </cfRule>
  </conditionalFormatting>
  <conditionalFormatting sqref="B96:C96">
    <cfRule type="cellIs" dxfId="44" priority="49" operator="equal">
      <formula>"ESCRIBA AQUÍ EL NOMBRE DEL CAPITULO"</formula>
    </cfRule>
  </conditionalFormatting>
  <conditionalFormatting sqref="B104:C104">
    <cfRule type="cellIs" dxfId="43" priority="45" operator="equal">
      <formula>"ESCRIBA AQUÍ EL NOMBRE DEL CAPITULO"</formula>
    </cfRule>
  </conditionalFormatting>
  <conditionalFormatting sqref="B115:C115">
    <cfRule type="cellIs" dxfId="42" priority="41" operator="equal">
      <formula>"ESCRIBA AQUÍ EL NOMBRE DEL CAPITULO"</formula>
    </cfRule>
  </conditionalFormatting>
  <conditionalFormatting sqref="B122:C122">
    <cfRule type="cellIs" dxfId="41" priority="26" operator="equal">
      <formula>"ESCRIBA AQUÍ EL NOMBRE DEL CAPITULO"</formula>
    </cfRule>
  </conditionalFormatting>
  <conditionalFormatting sqref="B129:C129">
    <cfRule type="cellIs" dxfId="40" priority="25" operator="equal">
      <formula>"ESCRIBA AQUÍ EL NOMBRE DEL CAPITULO"</formula>
    </cfRule>
  </conditionalFormatting>
  <conditionalFormatting sqref="G155:H155">
    <cfRule type="expression" dxfId="39" priority="23" stopIfTrue="1">
      <formula>"&gt;G29"</formula>
    </cfRule>
    <cfRule type="expression" dxfId="38" priority="24" stopIfTrue="1">
      <formula>"&lt;G29"""</formula>
    </cfRule>
  </conditionalFormatting>
  <conditionalFormatting sqref="G1:H6 G9:H104857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6:H156">
    <cfRule type="expression" dxfId="37" priority="20" stopIfTrue="1">
      <formula>"&gt;G29"</formula>
    </cfRule>
    <cfRule type="expression" dxfId="36" priority="21" stopIfTrue="1">
      <formula>"&lt;G29"""</formula>
    </cfRule>
  </conditionalFormatting>
  <conditionalFormatting sqref="K155">
    <cfRule type="expression" dxfId="35" priority="18" stopIfTrue="1">
      <formula>"&gt;G29"</formula>
    </cfRule>
    <cfRule type="expression" dxfId="34" priority="19" stopIfTrue="1">
      <formula>"&lt;G29"""</formula>
    </cfRule>
  </conditionalFormatting>
  <conditionalFormatting sqref="K15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48">
    <cfRule type="expression" dxfId="33" priority="13" stopIfTrue="1">
      <formula>"&gt;G29"</formula>
    </cfRule>
    <cfRule type="expression" dxfId="32" priority="14" stopIfTrue="1">
      <formula>"&lt;G29"""</formula>
    </cfRule>
  </conditionalFormatting>
  <conditionalFormatting sqref="L1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4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3">
    <cfRule type="expression" dxfId="31" priority="5" stopIfTrue="1">
      <formula>"&gt;G29"</formula>
    </cfRule>
    <cfRule type="expression" dxfId="30" priority="6" stopIfTrue="1">
      <formula>"&lt;G29"""</formula>
    </cfRule>
  </conditionalFormatting>
  <conditionalFormatting sqref="L15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5">
    <cfRule type="expression" dxfId="29" priority="2" stopIfTrue="1">
      <formula>"&gt;G29"</formula>
    </cfRule>
    <cfRule type="expression" dxfId="28" priority="3" stopIfTrue="1">
      <formula>"&lt;G29"""</formula>
    </cfRule>
  </conditionalFormatting>
  <conditionalFormatting sqref="L1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scale="3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"/>
  <sheetViews>
    <sheetView showGridLines="0" tabSelected="1" topLeftCell="B7" zoomScale="70" zoomScaleNormal="70" zoomScaleSheetLayoutView="70" workbookViewId="0">
      <selection activeCell="R18" sqref="R18"/>
    </sheetView>
  </sheetViews>
  <sheetFormatPr baseColWidth="10" defaultColWidth="11.42578125" defaultRowHeight="14.25" x14ac:dyDescent="0.2"/>
  <cols>
    <col min="1" max="1" width="9.5703125" style="401" hidden="1" customWidth="1"/>
    <col min="2" max="2" width="9.5703125" style="401" customWidth="1"/>
    <col min="3" max="3" width="52" style="401" customWidth="1"/>
    <col min="4" max="4" width="7.5703125" style="401" customWidth="1"/>
    <col min="5" max="5" width="12.7109375" style="587" customWidth="1"/>
    <col min="6" max="6" width="14.5703125" style="588" customWidth="1"/>
    <col min="7" max="7" width="21.42578125" style="401" bestFit="1" customWidth="1"/>
    <col min="8" max="8" width="18.5703125" style="401" hidden="1" customWidth="1"/>
    <col min="9" max="9" width="14.42578125" style="401" hidden="1" customWidth="1"/>
    <col min="10" max="10" width="15.140625" style="594" hidden="1" customWidth="1"/>
    <col min="11" max="11" width="22.140625" style="401" hidden="1" customWidth="1"/>
    <col min="12" max="12" width="21" style="401" hidden="1" customWidth="1"/>
    <col min="13" max="13" width="21.42578125" style="401" hidden="1" customWidth="1"/>
    <col min="14" max="14" width="18.5703125" style="401" hidden="1" customWidth="1"/>
    <col min="15" max="57" width="11.42578125" style="401"/>
    <col min="58" max="60" width="0" style="401" hidden="1" customWidth="1"/>
    <col min="61" max="16384" width="11.42578125" style="401"/>
  </cols>
  <sheetData>
    <row r="1" spans="1:73" s="400" customFormat="1" ht="12.2" hidden="1" customHeight="1" thickTop="1" x14ac:dyDescent="0.2">
      <c r="A1" s="1" t="s">
        <v>0</v>
      </c>
      <c r="B1" s="2" t="s">
        <v>1</v>
      </c>
      <c r="C1" s="3"/>
      <c r="D1" s="4"/>
      <c r="E1" s="5" t="s">
        <v>2</v>
      </c>
      <c r="F1" s="647" t="e">
        <f>"Duración  Obra    " &amp;#REF! &amp; " Días"</f>
        <v>#REF!</v>
      </c>
      <c r="G1" s="6" t="e">
        <f>#REF!</f>
        <v>#REF!</v>
      </c>
      <c r="H1" s="422"/>
      <c r="J1" s="468"/>
      <c r="Z1" s="469"/>
      <c r="AA1" s="28"/>
      <c r="AB1" s="470"/>
      <c r="AC1" s="471"/>
      <c r="AD1" s="472"/>
      <c r="AE1" s="473">
        <f>IF($A$2="CD",AG1,IF($A$2="CT",AH1,"Correg CT"))</f>
        <v>0</v>
      </c>
      <c r="AF1" s="474" t="e">
        <f>ROUND(AD1 * AE1,#REF!)</f>
        <v>#REF!</v>
      </c>
      <c r="AG1" s="475"/>
      <c r="AH1" s="476"/>
      <c r="AI1" s="473">
        <v>1</v>
      </c>
      <c r="AJ1" s="473"/>
      <c r="AK1" s="477" t="e">
        <f>ROUND(AH1 * AD1,#REF!)</f>
        <v>#REF!</v>
      </c>
      <c r="AL1" s="478" t="e">
        <f>ROUND(AG1 * AD1,#REF!)</f>
        <v>#REF!</v>
      </c>
      <c r="AM1" s="479" t="e">
        <f>AF1*#REF!</f>
        <v>#REF!</v>
      </c>
      <c r="AN1" s="480"/>
      <c r="AO1" s="481"/>
      <c r="AP1" s="482"/>
      <c r="AQ1" s="482"/>
      <c r="AR1" s="483"/>
      <c r="AS1" s="43">
        <f>AO1+AP1+AQ1+AR1</f>
        <v>0</v>
      </c>
      <c r="AT1" s="44"/>
      <c r="AV1" s="401"/>
      <c r="AW1" s="401"/>
      <c r="AX1" s="401"/>
      <c r="AY1" s="401"/>
      <c r="AZ1" s="401"/>
      <c r="BA1" s="401"/>
      <c r="BB1" s="401"/>
      <c r="BC1" s="401"/>
      <c r="BD1" s="401"/>
      <c r="BE1" s="45"/>
      <c r="BF1" s="46" t="e">
        <f>"CAP. " &amp;#REF! &amp; ": " &amp;#REF!</f>
        <v>#REF!</v>
      </c>
      <c r="BG1" s="47" t="e">
        <f>ROW(#REF!)</f>
        <v>#REF!</v>
      </c>
      <c r="BH1" s="47"/>
      <c r="BI1" s="47"/>
      <c r="BJ1" s="48"/>
      <c r="BK1" s="49"/>
      <c r="BL1" s="401"/>
      <c r="BM1" s="401"/>
      <c r="BN1" s="484">
        <f>AD1</f>
        <v>0</v>
      </c>
      <c r="BO1" s="51"/>
      <c r="BP1" s="485">
        <f>BN1+BO1</f>
        <v>0</v>
      </c>
      <c r="BQ1" s="486">
        <f>AE1</f>
        <v>0</v>
      </c>
      <c r="BR1" s="487" t="e">
        <f>ROUND(BP1 * BQ1,#REF!)</f>
        <v>#REF!</v>
      </c>
      <c r="BS1" s="488"/>
      <c r="BT1" s="489"/>
      <c r="BU1" s="401"/>
    </row>
    <row r="2" spans="1:73" s="400" customFormat="1" ht="12.2" hidden="1" customHeight="1" thickBot="1" x14ac:dyDescent="0.25">
      <c r="A2" s="1" t="s">
        <v>8</v>
      </c>
      <c r="B2" s="57" t="str">
        <f>IF($A$2="CD","CD",IF($A$2="CT","CT",""))</f>
        <v>CD</v>
      </c>
      <c r="C2" s="58"/>
      <c r="D2" s="490"/>
      <c r="E2" s="60"/>
      <c r="F2" s="647"/>
      <c r="G2" s="61" t="str">
        <f>IF([3]INSUMOS!J2=1,"CHEQ. INSUMOS","Insumos ok.")</f>
        <v>Insumos ok.</v>
      </c>
      <c r="H2" s="423"/>
      <c r="J2" s="468"/>
      <c r="Z2" s="491" t="s">
        <v>22</v>
      </c>
      <c r="AA2" s="491" t="s">
        <v>23</v>
      </c>
      <c r="AB2" s="491" t="s">
        <v>24</v>
      </c>
      <c r="AC2" s="491" t="s">
        <v>25</v>
      </c>
      <c r="AD2" s="491" t="s">
        <v>26</v>
      </c>
      <c r="AE2" s="491" t="s">
        <v>27</v>
      </c>
      <c r="AF2" s="491" t="s">
        <v>28</v>
      </c>
      <c r="AG2" s="491" t="s">
        <v>29</v>
      </c>
      <c r="AH2" s="491" t="s">
        <v>30</v>
      </c>
      <c r="AI2" s="491" t="s">
        <v>31</v>
      </c>
      <c r="AJ2" s="491" t="s">
        <v>32</v>
      </c>
      <c r="AK2" s="491" t="s">
        <v>33</v>
      </c>
      <c r="AL2" s="491" t="s">
        <v>34</v>
      </c>
      <c r="AM2" s="491" t="s">
        <v>35</v>
      </c>
      <c r="AN2" s="491" t="s">
        <v>36</v>
      </c>
      <c r="AO2" s="491" t="s">
        <v>37</v>
      </c>
      <c r="AP2" s="491" t="s">
        <v>38</v>
      </c>
      <c r="AQ2" s="491" t="s">
        <v>39</v>
      </c>
      <c r="AR2" s="491" t="s">
        <v>40</v>
      </c>
      <c r="AS2" s="491" t="s">
        <v>41</v>
      </c>
      <c r="AT2" s="491" t="s">
        <v>42</v>
      </c>
      <c r="AU2" s="491" t="s">
        <v>43</v>
      </c>
      <c r="AV2" s="491" t="s">
        <v>44</v>
      </c>
      <c r="AW2" s="491" t="s">
        <v>45</v>
      </c>
      <c r="AX2" s="491" t="s">
        <v>46</v>
      </c>
      <c r="AY2" s="491" t="s">
        <v>47</v>
      </c>
      <c r="AZ2" s="491" t="s">
        <v>48</v>
      </c>
      <c r="BA2" s="491" t="s">
        <v>49</v>
      </c>
      <c r="BB2" s="491" t="s">
        <v>50</v>
      </c>
      <c r="BC2" s="491" t="s">
        <v>51</v>
      </c>
      <c r="BD2" s="491" t="s">
        <v>52</v>
      </c>
      <c r="BE2" s="491" t="s">
        <v>53</v>
      </c>
      <c r="BF2" s="491" t="s">
        <v>54</v>
      </c>
      <c r="BG2" s="491" t="s">
        <v>55</v>
      </c>
      <c r="BH2" s="491" t="s">
        <v>56</v>
      </c>
      <c r="BI2" s="491" t="s">
        <v>57</v>
      </c>
      <c r="BJ2" s="491" t="s">
        <v>58</v>
      </c>
      <c r="BK2" s="491" t="s">
        <v>59</v>
      </c>
      <c r="BL2" s="491" t="s">
        <v>60</v>
      </c>
      <c r="BM2" s="491" t="s">
        <v>61</v>
      </c>
      <c r="BN2" s="491" t="s">
        <v>62</v>
      </c>
      <c r="BO2" s="491" t="s">
        <v>63</v>
      </c>
      <c r="BP2" s="491" t="s">
        <v>64</v>
      </c>
      <c r="BQ2" s="491" t="s">
        <v>65</v>
      </c>
      <c r="BR2" s="491" t="s">
        <v>66</v>
      </c>
      <c r="BS2" s="491" t="s">
        <v>67</v>
      </c>
      <c r="BT2" s="491" t="s">
        <v>68</v>
      </c>
    </row>
    <row r="3" spans="1:73" s="400" customFormat="1" ht="12.2" hidden="1" customHeight="1" thickTop="1" x14ac:dyDescent="0.2">
      <c r="A3" s="1"/>
      <c r="B3" s="57"/>
      <c r="C3" s="58"/>
      <c r="D3" s="490"/>
      <c r="E3" s="71"/>
      <c r="F3" s="72"/>
      <c r="G3" s="73"/>
      <c r="H3" s="73"/>
      <c r="J3" s="468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  <c r="BP3" s="491"/>
      <c r="BQ3" s="491"/>
      <c r="BR3" s="491"/>
      <c r="BS3" s="491"/>
      <c r="BT3" s="491"/>
    </row>
    <row r="4" spans="1:73" s="400" customFormat="1" ht="12.2" hidden="1" customHeight="1" x14ac:dyDescent="0.2">
      <c r="A4" s="1"/>
      <c r="B4" s="57"/>
      <c r="C4" s="58"/>
      <c r="D4" s="490"/>
      <c r="E4" s="71"/>
      <c r="F4" s="72"/>
      <c r="G4" s="73"/>
      <c r="H4" s="73"/>
      <c r="J4" s="468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  <c r="BC4" s="491"/>
      <c r="BD4" s="491"/>
      <c r="BE4" s="491"/>
      <c r="BF4" s="491"/>
      <c r="BG4" s="491"/>
      <c r="BH4" s="491"/>
      <c r="BI4" s="491"/>
      <c r="BJ4" s="491"/>
      <c r="BK4" s="491"/>
      <c r="BL4" s="491"/>
      <c r="BM4" s="491"/>
      <c r="BN4" s="491"/>
      <c r="BO4" s="491"/>
      <c r="BP4" s="491"/>
      <c r="BQ4" s="491"/>
      <c r="BR4" s="491"/>
      <c r="BS4" s="491"/>
      <c r="BT4" s="491"/>
    </row>
    <row r="5" spans="1:73" s="400" customFormat="1" ht="12.2" hidden="1" customHeight="1" x14ac:dyDescent="0.2">
      <c r="A5" s="1"/>
      <c r="B5" s="57"/>
      <c r="C5" s="58"/>
      <c r="D5" s="490"/>
      <c r="E5" s="71"/>
      <c r="F5" s="72"/>
      <c r="G5" s="73"/>
      <c r="H5" s="73"/>
      <c r="J5" s="468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/>
      <c r="BE5" s="491"/>
      <c r="BF5" s="491"/>
      <c r="BG5" s="491"/>
      <c r="BH5" s="491"/>
      <c r="BI5" s="491"/>
      <c r="BJ5" s="491"/>
      <c r="BK5" s="491"/>
      <c r="BL5" s="491"/>
      <c r="BM5" s="491"/>
      <c r="BN5" s="491"/>
      <c r="BO5" s="491"/>
      <c r="BP5" s="491"/>
      <c r="BQ5" s="491"/>
      <c r="BR5" s="491"/>
      <c r="BS5" s="491"/>
      <c r="BT5" s="491"/>
    </row>
    <row r="6" spans="1:73" s="400" customFormat="1" ht="12.2" hidden="1" customHeight="1" thickBot="1" x14ac:dyDescent="0.25">
      <c r="A6" s="1"/>
      <c r="B6" s="57"/>
      <c r="C6" s="58"/>
      <c r="D6" s="490"/>
      <c r="E6" s="71"/>
      <c r="F6" s="72"/>
      <c r="G6" s="73"/>
      <c r="H6" s="73"/>
      <c r="J6" s="468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491"/>
      <c r="BE6" s="491"/>
      <c r="BF6" s="491"/>
      <c r="BG6" s="491"/>
      <c r="BH6" s="491"/>
      <c r="BI6" s="491"/>
      <c r="BJ6" s="491"/>
      <c r="BK6" s="491"/>
      <c r="BL6" s="491"/>
      <c r="BM6" s="491"/>
      <c r="BN6" s="491"/>
      <c r="BO6" s="491"/>
      <c r="BP6" s="491"/>
      <c r="BQ6" s="491"/>
      <c r="BR6" s="491"/>
      <c r="BS6" s="491"/>
      <c r="BT6" s="491"/>
    </row>
    <row r="7" spans="1:73" s="397" customFormat="1" ht="57" customHeight="1" x14ac:dyDescent="0.2">
      <c r="A7" s="492"/>
      <c r="B7" s="655" t="s">
        <v>380</v>
      </c>
      <c r="C7" s="655"/>
      <c r="D7" s="655"/>
      <c r="E7" s="655"/>
      <c r="F7" s="655"/>
      <c r="G7" s="655"/>
      <c r="H7" s="424"/>
      <c r="J7" s="493"/>
    </row>
    <row r="8" spans="1:73" s="397" customFormat="1" ht="15.6" customHeight="1" x14ac:dyDescent="0.2">
      <c r="A8" s="492"/>
      <c r="B8" s="655"/>
      <c r="C8" s="655"/>
      <c r="D8" s="655"/>
      <c r="E8" s="655"/>
      <c r="F8" s="655"/>
      <c r="G8" s="655"/>
      <c r="H8" s="424"/>
      <c r="J8" s="493"/>
    </row>
    <row r="9" spans="1:73" s="397" customFormat="1" ht="15" customHeight="1" x14ac:dyDescent="0.2">
      <c r="A9" s="492"/>
      <c r="B9" s="654" t="s">
        <v>379</v>
      </c>
      <c r="C9" s="656" t="s">
        <v>378</v>
      </c>
      <c r="D9" s="656"/>
      <c r="E9" s="656"/>
      <c r="F9" s="656"/>
      <c r="G9" s="656"/>
      <c r="H9" s="425"/>
      <c r="J9" s="493"/>
    </row>
    <row r="10" spans="1:73" s="397" customFormat="1" ht="21.2" customHeight="1" x14ac:dyDescent="0.2">
      <c r="A10" s="492"/>
      <c r="B10" s="654"/>
      <c r="C10" s="656"/>
      <c r="D10" s="656"/>
      <c r="E10" s="656"/>
      <c r="F10" s="656"/>
      <c r="G10" s="656"/>
      <c r="H10" s="494"/>
      <c r="J10" s="493"/>
    </row>
    <row r="11" spans="1:73" s="397" customFormat="1" ht="20.100000000000001" customHeight="1" x14ac:dyDescent="0.2">
      <c r="A11" s="492"/>
      <c r="B11" s="495"/>
      <c r="C11" s="496"/>
      <c r="D11" s="497"/>
      <c r="E11" s="498"/>
      <c r="F11" s="499"/>
      <c r="G11" s="500"/>
      <c r="H11" s="500"/>
      <c r="J11" s="493"/>
    </row>
    <row r="12" spans="1:73" s="397" customFormat="1" ht="15.75" customHeight="1" x14ac:dyDescent="0.2">
      <c r="A12" s="501" t="s">
        <v>87</v>
      </c>
      <c r="B12" s="113" t="s">
        <v>88</v>
      </c>
      <c r="C12" s="113" t="s">
        <v>89</v>
      </c>
      <c r="D12" s="113" t="s">
        <v>90</v>
      </c>
      <c r="E12" s="114" t="s">
        <v>91</v>
      </c>
      <c r="F12" s="115" t="s">
        <v>92</v>
      </c>
      <c r="G12" s="116" t="s">
        <v>372</v>
      </c>
      <c r="H12" s="427"/>
      <c r="I12" s="502" t="s">
        <v>373</v>
      </c>
      <c r="J12" s="503" t="s">
        <v>374</v>
      </c>
      <c r="K12" s="503" t="s">
        <v>375</v>
      </c>
      <c r="L12" s="503" t="s">
        <v>376</v>
      </c>
    </row>
    <row r="13" spans="1:73" ht="22.9" customHeight="1" thickBot="1" x14ac:dyDescent="0.25">
      <c r="A13" s="492"/>
      <c r="B13" s="504"/>
      <c r="C13" s="505"/>
      <c r="D13" s="506"/>
      <c r="E13" s="507"/>
      <c r="F13" s="508"/>
      <c r="G13" s="509"/>
      <c r="H13" s="509"/>
      <c r="I13" s="510"/>
      <c r="J13" s="511"/>
      <c r="K13" s="510"/>
      <c r="L13" s="510"/>
    </row>
    <row r="14" spans="1:73" ht="15" x14ac:dyDescent="0.2">
      <c r="A14" s="512" t="s">
        <v>98</v>
      </c>
      <c r="B14" s="129">
        <v>1</v>
      </c>
      <c r="C14" s="130" t="s">
        <v>99</v>
      </c>
      <c r="D14" s="131"/>
      <c r="E14" s="132"/>
      <c r="F14" s="133"/>
      <c r="G14" s="134">
        <f>SUM(G15:G16)</f>
        <v>7851249</v>
      </c>
      <c r="H14" s="428"/>
      <c r="I14" s="510"/>
      <c r="J14" s="511"/>
      <c r="K14" s="510"/>
      <c r="L14" s="510"/>
    </row>
    <row r="15" spans="1:73" x14ac:dyDescent="0.2">
      <c r="A15" s="469" t="s">
        <v>101</v>
      </c>
      <c r="B15" s="28" t="s">
        <v>102</v>
      </c>
      <c r="C15" s="470" t="s">
        <v>103</v>
      </c>
      <c r="D15" s="471" t="s">
        <v>104</v>
      </c>
      <c r="E15" s="513">
        <v>4767</v>
      </c>
      <c r="F15" s="514">
        <v>1647</v>
      </c>
      <c r="G15" s="515">
        <f>F15*E15</f>
        <v>7851249</v>
      </c>
      <c r="H15" s="516"/>
      <c r="I15" s="517">
        <f>+F15</f>
        <v>1647</v>
      </c>
      <c r="J15" s="511">
        <f>I15*1.34</f>
        <v>2206.98</v>
      </c>
      <c r="K15" s="511">
        <f>+J15*E15</f>
        <v>10520673.66</v>
      </c>
      <c r="L15" s="511">
        <f>+I15*E15</f>
        <v>7851249</v>
      </c>
      <c r="M15" s="518">
        <f>ROUND(L15*1.34,0)</f>
        <v>10520674</v>
      </c>
      <c r="N15" s="519">
        <f t="shared" ref="N15:N78" si="0">K15-M15</f>
        <v>-0.33999999985098839</v>
      </c>
    </row>
    <row r="16" spans="1:73" x14ac:dyDescent="0.2">
      <c r="A16" s="520"/>
      <c r="B16" s="147"/>
      <c r="C16" s="470"/>
      <c r="D16" s="471"/>
      <c r="E16" s="521"/>
      <c r="F16" s="514"/>
      <c r="G16" s="474"/>
      <c r="H16" s="480"/>
      <c r="I16" s="517"/>
      <c r="J16" s="511"/>
      <c r="K16" s="510"/>
      <c r="L16" s="510"/>
      <c r="M16" s="518">
        <f t="shared" ref="M16:M79" si="1">ROUND(L16*1.34,0)</f>
        <v>0</v>
      </c>
      <c r="N16" s="519">
        <f t="shared" si="0"/>
        <v>0</v>
      </c>
    </row>
    <row r="17" spans="1:14" ht="15.75" thickBot="1" x14ac:dyDescent="0.25">
      <c r="A17" s="522" t="s">
        <v>105</v>
      </c>
      <c r="B17" s="153"/>
      <c r="C17" s="523"/>
      <c r="D17" s="524"/>
      <c r="E17" s="525"/>
      <c r="F17" s="157" t="s">
        <v>364</v>
      </c>
      <c r="G17" s="158">
        <f>SUM(G15:G16)</f>
        <v>7851249</v>
      </c>
      <c r="H17" s="430"/>
      <c r="I17" s="517"/>
      <c r="J17" s="511"/>
      <c r="K17" s="510"/>
      <c r="M17" s="518">
        <f t="shared" si="1"/>
        <v>0</v>
      </c>
      <c r="N17" s="519">
        <f t="shared" si="0"/>
        <v>0</v>
      </c>
    </row>
    <row r="18" spans="1:14" ht="27.6" customHeight="1" thickBot="1" x14ac:dyDescent="0.25">
      <c r="A18" s="492"/>
      <c r="B18" s="504"/>
      <c r="C18" s="505"/>
      <c r="D18" s="506"/>
      <c r="E18" s="526"/>
      <c r="F18" s="508"/>
      <c r="G18" s="509"/>
      <c r="H18" s="509"/>
      <c r="I18" s="517"/>
      <c r="J18" s="511"/>
      <c r="K18" s="510"/>
      <c r="L18" s="510"/>
      <c r="M18" s="518">
        <f t="shared" si="1"/>
        <v>0</v>
      </c>
      <c r="N18" s="519">
        <f t="shared" si="0"/>
        <v>0</v>
      </c>
    </row>
    <row r="19" spans="1:14" ht="15" x14ac:dyDescent="0.2">
      <c r="A19" s="512" t="s">
        <v>98</v>
      </c>
      <c r="B19" s="129">
        <v>2</v>
      </c>
      <c r="C19" s="130" t="s">
        <v>106</v>
      </c>
      <c r="D19" s="131"/>
      <c r="E19" s="132"/>
      <c r="F19" s="133"/>
      <c r="G19" s="134">
        <f>SUM(G20:G24)</f>
        <v>178871039</v>
      </c>
      <c r="H19" s="428"/>
      <c r="I19" s="517"/>
      <c r="J19" s="511"/>
      <c r="K19" s="510"/>
      <c r="L19" s="510"/>
      <c r="M19" s="518">
        <f t="shared" si="1"/>
        <v>0</v>
      </c>
      <c r="N19" s="519">
        <f t="shared" si="0"/>
        <v>0</v>
      </c>
    </row>
    <row r="20" spans="1:14" x14ac:dyDescent="0.2">
      <c r="A20" s="469" t="s">
        <v>107</v>
      </c>
      <c r="B20" s="28" t="s">
        <v>108</v>
      </c>
      <c r="C20" s="470" t="s">
        <v>109</v>
      </c>
      <c r="D20" s="471" t="s">
        <v>104</v>
      </c>
      <c r="E20" s="513">
        <v>10384</v>
      </c>
      <c r="F20" s="514">
        <v>5667</v>
      </c>
      <c r="G20" s="515">
        <f>F20*E20</f>
        <v>58846128</v>
      </c>
      <c r="H20" s="516"/>
      <c r="I20" s="517">
        <f>+F20</f>
        <v>5667</v>
      </c>
      <c r="J20" s="511">
        <f t="shared" ref="J20:J23" si="2">I20*1.34</f>
        <v>7593.7800000000007</v>
      </c>
      <c r="K20" s="511">
        <f>+J20*E20</f>
        <v>78853811.520000011</v>
      </c>
      <c r="L20" s="511">
        <f>+I20*E20</f>
        <v>58846128</v>
      </c>
      <c r="M20" s="518">
        <f t="shared" si="1"/>
        <v>78853812</v>
      </c>
      <c r="N20" s="519">
        <f t="shared" si="0"/>
        <v>-0.47999998927116394</v>
      </c>
    </row>
    <row r="21" spans="1:14" x14ac:dyDescent="0.2">
      <c r="A21" s="469" t="s">
        <v>110</v>
      </c>
      <c r="B21" s="28" t="s">
        <v>111</v>
      </c>
      <c r="C21" s="470" t="s">
        <v>112</v>
      </c>
      <c r="D21" s="471" t="s">
        <v>113</v>
      </c>
      <c r="E21" s="513">
        <v>4791.6000000000004</v>
      </c>
      <c r="F21" s="514">
        <v>21573</v>
      </c>
      <c r="G21" s="515">
        <f>F21*E21</f>
        <v>103369186.80000001</v>
      </c>
      <c r="H21" s="516"/>
      <c r="I21" s="517">
        <f>+F21</f>
        <v>21573</v>
      </c>
      <c r="J21" s="511">
        <f t="shared" si="2"/>
        <v>28907.820000000003</v>
      </c>
      <c r="K21" s="511">
        <f t="shared" ref="K21:K23" si="3">+J21*E21</f>
        <v>138514710.31200004</v>
      </c>
      <c r="L21" s="511">
        <f t="shared" ref="L21:L23" si="4">+I21*E21</f>
        <v>103369186.80000001</v>
      </c>
      <c r="M21" s="518">
        <f t="shared" si="1"/>
        <v>138514710</v>
      </c>
      <c r="N21" s="519">
        <f t="shared" si="0"/>
        <v>0.31200003623962402</v>
      </c>
    </row>
    <row r="22" spans="1:14" ht="25.5" x14ac:dyDescent="0.2">
      <c r="A22" s="469" t="s">
        <v>114</v>
      </c>
      <c r="B22" s="28" t="s">
        <v>115</v>
      </c>
      <c r="C22" s="470" t="s">
        <v>116</v>
      </c>
      <c r="D22" s="471" t="s">
        <v>117</v>
      </c>
      <c r="E22" s="513">
        <v>5635.8</v>
      </c>
      <c r="F22" s="514">
        <v>2349</v>
      </c>
      <c r="G22" s="515">
        <f>F22*E22</f>
        <v>13238494.200000001</v>
      </c>
      <c r="H22" s="516"/>
      <c r="I22" s="517">
        <f>+F22</f>
        <v>2349</v>
      </c>
      <c r="J22" s="511">
        <f t="shared" si="2"/>
        <v>3147.6600000000003</v>
      </c>
      <c r="K22" s="511">
        <f t="shared" si="3"/>
        <v>17739582.228000004</v>
      </c>
      <c r="L22" s="511">
        <f t="shared" si="4"/>
        <v>13238494.200000001</v>
      </c>
      <c r="M22" s="518">
        <f t="shared" si="1"/>
        <v>17739582</v>
      </c>
      <c r="N22" s="519">
        <f t="shared" si="0"/>
        <v>0.22800000384449959</v>
      </c>
    </row>
    <row r="23" spans="1:14" x14ac:dyDescent="0.2">
      <c r="A23" s="469" t="s">
        <v>118</v>
      </c>
      <c r="B23" s="28" t="s">
        <v>119</v>
      </c>
      <c r="C23" s="470" t="s">
        <v>120</v>
      </c>
      <c r="D23" s="471" t="s">
        <v>113</v>
      </c>
      <c r="E23" s="513">
        <v>710</v>
      </c>
      <c r="F23" s="514">
        <v>4813</v>
      </c>
      <c r="G23" s="515">
        <f>F23*E23</f>
        <v>3417230</v>
      </c>
      <c r="H23" s="516"/>
      <c r="I23" s="517">
        <f>+F23</f>
        <v>4813</v>
      </c>
      <c r="J23" s="511">
        <f t="shared" si="2"/>
        <v>6449.42</v>
      </c>
      <c r="K23" s="511">
        <f t="shared" si="3"/>
        <v>4579088.2</v>
      </c>
      <c r="L23" s="511">
        <f t="shared" si="4"/>
        <v>3417230</v>
      </c>
      <c r="M23" s="518">
        <f t="shared" si="1"/>
        <v>4579088</v>
      </c>
      <c r="N23" s="519">
        <f t="shared" si="0"/>
        <v>0.20000000018626451</v>
      </c>
    </row>
    <row r="24" spans="1:14" x14ac:dyDescent="0.2">
      <c r="A24" s="520"/>
      <c r="B24" s="147"/>
      <c r="C24" s="470"/>
      <c r="D24" s="471"/>
      <c r="E24" s="521"/>
      <c r="F24" s="514"/>
      <c r="G24" s="474"/>
      <c r="H24" s="480"/>
      <c r="I24" s="517"/>
      <c r="J24" s="511"/>
      <c r="K24" s="510"/>
      <c r="L24" s="510"/>
      <c r="M24" s="518">
        <f t="shared" si="1"/>
        <v>0</v>
      </c>
      <c r="N24" s="519">
        <f t="shared" si="0"/>
        <v>0</v>
      </c>
    </row>
    <row r="25" spans="1:14" ht="15.75" thickBot="1" x14ac:dyDescent="0.25">
      <c r="A25" s="522" t="s">
        <v>105</v>
      </c>
      <c r="B25" s="153"/>
      <c r="C25" s="523"/>
      <c r="D25" s="524"/>
      <c r="E25" s="525"/>
      <c r="F25" s="157" t="s">
        <v>365</v>
      </c>
      <c r="G25" s="158">
        <f>SUM(G20:G24)</f>
        <v>178871039</v>
      </c>
      <c r="H25" s="430"/>
      <c r="I25" s="517"/>
      <c r="J25" s="511"/>
      <c r="K25" s="510"/>
      <c r="L25" s="510"/>
      <c r="M25" s="518">
        <f t="shared" si="1"/>
        <v>0</v>
      </c>
      <c r="N25" s="519">
        <f t="shared" si="0"/>
        <v>0</v>
      </c>
    </row>
    <row r="26" spans="1:14" ht="23.1" customHeight="1" thickBot="1" x14ac:dyDescent="0.25">
      <c r="A26" s="492"/>
      <c r="B26" s="504"/>
      <c r="C26" s="505"/>
      <c r="D26" s="506"/>
      <c r="E26" s="526"/>
      <c r="F26" s="508"/>
      <c r="G26" s="509"/>
      <c r="H26" s="509"/>
      <c r="I26" s="517"/>
      <c r="J26" s="511"/>
      <c r="K26" s="510"/>
      <c r="L26" s="510"/>
      <c r="M26" s="518">
        <f t="shared" si="1"/>
        <v>0</v>
      </c>
      <c r="N26" s="519">
        <f t="shared" si="0"/>
        <v>0</v>
      </c>
    </row>
    <row r="27" spans="1:14" ht="15" x14ac:dyDescent="0.2">
      <c r="A27" s="512" t="s">
        <v>98</v>
      </c>
      <c r="B27" s="129">
        <v>3</v>
      </c>
      <c r="C27" s="130" t="s">
        <v>121</v>
      </c>
      <c r="D27" s="131"/>
      <c r="E27" s="132"/>
      <c r="F27" s="133"/>
      <c r="G27" s="134">
        <f>SUM(G28:G38)</f>
        <v>678505221.19638634</v>
      </c>
      <c r="H27" s="428"/>
      <c r="I27" s="517"/>
      <c r="J27" s="511"/>
      <c r="K27" s="510"/>
      <c r="L27" s="510"/>
      <c r="M27" s="518">
        <f t="shared" si="1"/>
        <v>0</v>
      </c>
      <c r="N27" s="519">
        <f t="shared" si="0"/>
        <v>0</v>
      </c>
    </row>
    <row r="28" spans="1:14" x14ac:dyDescent="0.2">
      <c r="A28" s="469" t="s">
        <v>122</v>
      </c>
      <c r="B28" s="28" t="s">
        <v>123</v>
      </c>
      <c r="C28" s="470" t="s">
        <v>124</v>
      </c>
      <c r="D28" s="471" t="s">
        <v>125</v>
      </c>
      <c r="E28" s="595">
        <v>5089.999968180281</v>
      </c>
      <c r="F28" s="514">
        <v>23453</v>
      </c>
      <c r="G28" s="515">
        <f t="shared" ref="G28:G37" si="5">F28*E28</f>
        <v>119375769.25373213</v>
      </c>
      <c r="H28" s="516"/>
      <c r="I28" s="517">
        <f t="shared" ref="I28:I37" si="6">+F28</f>
        <v>23453</v>
      </c>
      <c r="J28" s="511">
        <f>I28*1.34</f>
        <v>31427.02</v>
      </c>
      <c r="K28" s="511">
        <f>+J28*E28</f>
        <v>159963530.80000106</v>
      </c>
      <c r="L28" s="511">
        <f>+I28*E28</f>
        <v>119375769.25373213</v>
      </c>
      <c r="M28" s="518">
        <f t="shared" si="1"/>
        <v>159963531</v>
      </c>
      <c r="N28" s="519">
        <f t="shared" si="0"/>
        <v>-0.19999894499778748</v>
      </c>
    </row>
    <row r="29" spans="1:14" x14ac:dyDescent="0.2">
      <c r="A29" s="469" t="s">
        <v>126</v>
      </c>
      <c r="B29" s="28" t="s">
        <v>127</v>
      </c>
      <c r="C29" s="470" t="s">
        <v>128</v>
      </c>
      <c r="D29" s="471" t="s">
        <v>125</v>
      </c>
      <c r="E29" s="513">
        <v>2411.8352371743613</v>
      </c>
      <c r="F29" s="514">
        <v>29552</v>
      </c>
      <c r="G29" s="515">
        <f t="shared" si="5"/>
        <v>71274554.92897673</v>
      </c>
      <c r="H29" s="516"/>
      <c r="I29" s="517">
        <f t="shared" si="6"/>
        <v>29552</v>
      </c>
      <c r="J29" s="511">
        <f t="shared" ref="J29:J36" si="7">I29*1.34</f>
        <v>39599.68</v>
      </c>
      <c r="K29" s="511">
        <f t="shared" ref="K29:K37" si="8">+J29*E29</f>
        <v>95507903.604828805</v>
      </c>
      <c r="L29" s="511">
        <f t="shared" ref="L29:L37" si="9">+I29*E29</f>
        <v>71274554.92897673</v>
      </c>
      <c r="M29" s="518">
        <f t="shared" si="1"/>
        <v>95507904</v>
      </c>
      <c r="N29" s="519">
        <f t="shared" si="0"/>
        <v>-0.39517119526863098</v>
      </c>
    </row>
    <row r="30" spans="1:14" x14ac:dyDescent="0.2">
      <c r="A30" s="469"/>
      <c r="B30" s="28" t="s">
        <v>129</v>
      </c>
      <c r="C30" s="470" t="s">
        <v>130</v>
      </c>
      <c r="D30" s="471" t="s">
        <v>125</v>
      </c>
      <c r="E30" s="513">
        <v>1851.8888197386159</v>
      </c>
      <c r="F30" s="514">
        <v>9514</v>
      </c>
      <c r="G30" s="515">
        <f t="shared" si="5"/>
        <v>17618870.230993193</v>
      </c>
      <c r="H30" s="516"/>
      <c r="I30" s="517">
        <f t="shared" si="6"/>
        <v>9514</v>
      </c>
      <c r="J30" s="511">
        <f t="shared" si="7"/>
        <v>12748.76</v>
      </c>
      <c r="K30" s="511">
        <f t="shared" si="8"/>
        <v>23609286.109530877</v>
      </c>
      <c r="L30" s="511">
        <f t="shared" si="9"/>
        <v>17618870.230993193</v>
      </c>
      <c r="M30" s="518">
        <f t="shared" si="1"/>
        <v>23609286</v>
      </c>
      <c r="N30" s="519">
        <f t="shared" si="0"/>
        <v>0.10953087732195854</v>
      </c>
    </row>
    <row r="31" spans="1:14" x14ac:dyDescent="0.2">
      <c r="A31" s="469" t="s">
        <v>131</v>
      </c>
      <c r="B31" s="28" t="s">
        <v>132</v>
      </c>
      <c r="C31" s="470" t="s">
        <v>133</v>
      </c>
      <c r="D31" s="471" t="s">
        <v>125</v>
      </c>
      <c r="E31" s="513">
        <v>5020.307559738616</v>
      </c>
      <c r="F31" s="514">
        <v>19189</v>
      </c>
      <c r="G31" s="515">
        <f t="shared" si="5"/>
        <v>96334681.763824299</v>
      </c>
      <c r="H31" s="516"/>
      <c r="I31" s="517">
        <f t="shared" si="6"/>
        <v>19189</v>
      </c>
      <c r="J31" s="511">
        <f t="shared" si="7"/>
        <v>25713.260000000002</v>
      </c>
      <c r="K31" s="511">
        <f t="shared" si="8"/>
        <v>129088473.56352457</v>
      </c>
      <c r="L31" s="511">
        <f t="shared" si="9"/>
        <v>96334681.763824299</v>
      </c>
      <c r="M31" s="518">
        <f t="shared" si="1"/>
        <v>129088474</v>
      </c>
      <c r="N31" s="519">
        <f t="shared" si="0"/>
        <v>-0.43647542595863342</v>
      </c>
    </row>
    <row r="32" spans="1:14" ht="19.149999999999999" customHeight="1" x14ac:dyDescent="0.2">
      <c r="A32" s="469" t="s">
        <v>134</v>
      </c>
      <c r="B32" s="28" t="s">
        <v>135</v>
      </c>
      <c r="C32" s="470" t="s">
        <v>136</v>
      </c>
      <c r="D32" s="471" t="s">
        <v>125</v>
      </c>
      <c r="E32" s="513">
        <v>819.99090000000001</v>
      </c>
      <c r="F32" s="514">
        <v>78845</v>
      </c>
      <c r="G32" s="515">
        <f t="shared" si="5"/>
        <v>64652182.510499999</v>
      </c>
      <c r="H32" s="516"/>
      <c r="I32" s="517">
        <f t="shared" si="6"/>
        <v>78845</v>
      </c>
      <c r="J32" s="511">
        <f t="shared" si="7"/>
        <v>105652.3</v>
      </c>
      <c r="K32" s="511">
        <f t="shared" si="8"/>
        <v>86633924.564070001</v>
      </c>
      <c r="L32" s="511">
        <f t="shared" si="9"/>
        <v>64652182.510499999</v>
      </c>
      <c r="M32" s="518">
        <f t="shared" si="1"/>
        <v>86633925</v>
      </c>
      <c r="N32" s="519">
        <f t="shared" si="0"/>
        <v>-0.43592999875545502</v>
      </c>
    </row>
    <row r="33" spans="1:14" x14ac:dyDescent="0.2">
      <c r="A33" s="469" t="s">
        <v>137</v>
      </c>
      <c r="B33" s="28" t="s">
        <v>138</v>
      </c>
      <c r="C33" s="470" t="s">
        <v>139</v>
      </c>
      <c r="D33" s="471" t="s">
        <v>125</v>
      </c>
      <c r="E33" s="513">
        <v>1534.9818</v>
      </c>
      <c r="F33" s="514">
        <v>132153</v>
      </c>
      <c r="G33" s="515">
        <f t="shared" si="5"/>
        <v>202852449.8154</v>
      </c>
      <c r="H33" s="516"/>
      <c r="I33" s="517">
        <f t="shared" si="6"/>
        <v>132153</v>
      </c>
      <c r="J33" s="511">
        <f t="shared" si="7"/>
        <v>177085.02000000002</v>
      </c>
      <c r="K33" s="511">
        <f t="shared" si="8"/>
        <v>271822282.75263602</v>
      </c>
      <c r="L33" s="511">
        <f t="shared" si="9"/>
        <v>202852449.8154</v>
      </c>
      <c r="M33" s="518">
        <f t="shared" si="1"/>
        <v>271822283</v>
      </c>
      <c r="N33" s="519">
        <f t="shared" si="0"/>
        <v>-0.24736398458480835</v>
      </c>
    </row>
    <row r="34" spans="1:14" ht="25.5" x14ac:dyDescent="0.2">
      <c r="A34" s="469" t="s">
        <v>140</v>
      </c>
      <c r="B34" s="28" t="s">
        <v>141</v>
      </c>
      <c r="C34" s="470" t="str">
        <f>+C22</f>
        <v>CARGUE, RETIRO Y DISPOSICIÓN DE  ESCOMBROS A MAQUINA</v>
      </c>
      <c r="D34" s="471" t="str">
        <f>+D22</f>
        <v>M3-Km</v>
      </c>
      <c r="E34" s="513">
        <v>27936.332999999999</v>
      </c>
      <c r="F34" s="514">
        <v>2349</v>
      </c>
      <c r="G34" s="515">
        <f t="shared" si="5"/>
        <v>65622446.217</v>
      </c>
      <c r="H34" s="516"/>
      <c r="I34" s="517">
        <f t="shared" si="6"/>
        <v>2349</v>
      </c>
      <c r="J34" s="511">
        <f t="shared" si="7"/>
        <v>3147.6600000000003</v>
      </c>
      <c r="K34" s="511">
        <f t="shared" si="8"/>
        <v>87934077.930780008</v>
      </c>
      <c r="L34" s="511">
        <f t="shared" si="9"/>
        <v>65622446.217</v>
      </c>
      <c r="M34" s="518">
        <f t="shared" si="1"/>
        <v>87934078</v>
      </c>
      <c r="N34" s="519">
        <f t="shared" si="0"/>
        <v>-6.9219991564750671E-2</v>
      </c>
    </row>
    <row r="35" spans="1:14" x14ac:dyDescent="0.2">
      <c r="A35" s="469" t="s">
        <v>142</v>
      </c>
      <c r="B35" s="28" t="s">
        <v>143</v>
      </c>
      <c r="C35" s="470" t="s">
        <v>144</v>
      </c>
      <c r="D35" s="471" t="s">
        <v>125</v>
      </c>
      <c r="E35" s="513">
        <v>546.660616</v>
      </c>
      <c r="F35" s="514">
        <v>50935</v>
      </c>
      <c r="G35" s="515">
        <f t="shared" si="5"/>
        <v>27844158.475960001</v>
      </c>
      <c r="H35" s="516"/>
      <c r="I35" s="517">
        <f t="shared" si="6"/>
        <v>50935</v>
      </c>
      <c r="J35" s="511">
        <f t="shared" si="7"/>
        <v>68252.900000000009</v>
      </c>
      <c r="K35" s="511">
        <f t="shared" si="8"/>
        <v>37311172.357786402</v>
      </c>
      <c r="L35" s="511">
        <f t="shared" si="9"/>
        <v>27844158.475960001</v>
      </c>
      <c r="M35" s="518">
        <f t="shared" si="1"/>
        <v>37311172</v>
      </c>
      <c r="N35" s="519">
        <f t="shared" si="0"/>
        <v>0.3577864021062851</v>
      </c>
    </row>
    <row r="36" spans="1:14" x14ac:dyDescent="0.2">
      <c r="A36" s="469" t="s">
        <v>145</v>
      </c>
      <c r="B36" s="28" t="s">
        <v>146</v>
      </c>
      <c r="C36" s="470" t="s">
        <v>147</v>
      </c>
      <c r="D36" s="471" t="s">
        <v>104</v>
      </c>
      <c r="E36" s="513">
        <v>1420</v>
      </c>
      <c r="F36" s="514">
        <v>7281</v>
      </c>
      <c r="G36" s="515">
        <f t="shared" si="5"/>
        <v>10339020</v>
      </c>
      <c r="H36" s="516"/>
      <c r="I36" s="517">
        <f t="shared" si="6"/>
        <v>7281</v>
      </c>
      <c r="J36" s="511">
        <f t="shared" si="7"/>
        <v>9756.5400000000009</v>
      </c>
      <c r="K36" s="511">
        <f t="shared" si="8"/>
        <v>13854286.800000001</v>
      </c>
      <c r="L36" s="511">
        <f t="shared" si="9"/>
        <v>10339020</v>
      </c>
      <c r="M36" s="518">
        <f t="shared" si="1"/>
        <v>13854287</v>
      </c>
      <c r="N36" s="519">
        <f t="shared" si="0"/>
        <v>-0.19999999925494194</v>
      </c>
    </row>
    <row r="37" spans="1:14" x14ac:dyDescent="0.2">
      <c r="A37" s="527"/>
      <c r="B37" s="28" t="s">
        <v>148</v>
      </c>
      <c r="C37" s="470" t="s">
        <v>149</v>
      </c>
      <c r="D37" s="471" t="s">
        <v>104</v>
      </c>
      <c r="E37" s="513">
        <v>24</v>
      </c>
      <c r="F37" s="514">
        <v>107962</v>
      </c>
      <c r="G37" s="515">
        <f t="shared" si="5"/>
        <v>2591088</v>
      </c>
      <c r="H37" s="516"/>
      <c r="I37" s="517">
        <f t="shared" si="6"/>
        <v>107962</v>
      </c>
      <c r="J37" s="511">
        <f>I37*1.34</f>
        <v>144669.08000000002</v>
      </c>
      <c r="K37" s="511">
        <f t="shared" si="8"/>
        <v>3472057.9200000004</v>
      </c>
      <c r="L37" s="511">
        <f t="shared" si="9"/>
        <v>2591088</v>
      </c>
      <c r="M37" s="518">
        <f t="shared" si="1"/>
        <v>3472058</v>
      </c>
      <c r="N37" s="519">
        <f t="shared" si="0"/>
        <v>-7.9999999608844519E-2</v>
      </c>
    </row>
    <row r="38" spans="1:14" x14ac:dyDescent="0.2">
      <c r="A38" s="520"/>
      <c r="B38" s="147"/>
      <c r="C38" s="470"/>
      <c r="D38" s="471"/>
      <c r="E38" s="521"/>
      <c r="F38" s="514"/>
      <c r="G38" s="474"/>
      <c r="H38" s="480"/>
      <c r="I38" s="517"/>
      <c r="J38" s="511"/>
      <c r="K38" s="510"/>
      <c r="L38" s="510"/>
      <c r="M38" s="518">
        <f t="shared" si="1"/>
        <v>0</v>
      </c>
      <c r="N38" s="519">
        <f t="shared" si="0"/>
        <v>0</v>
      </c>
    </row>
    <row r="39" spans="1:14" ht="15.75" thickBot="1" x14ac:dyDescent="0.25">
      <c r="A39" s="522" t="s">
        <v>105</v>
      </c>
      <c r="B39" s="153"/>
      <c r="C39" s="523"/>
      <c r="D39" s="524"/>
      <c r="E39" s="525"/>
      <c r="F39" s="157" t="s">
        <v>366</v>
      </c>
      <c r="G39" s="169">
        <f>SUM(G28:G38)</f>
        <v>678505221.19638634</v>
      </c>
      <c r="H39" s="431"/>
      <c r="I39" s="517"/>
      <c r="J39" s="511"/>
      <c r="K39" s="510"/>
      <c r="L39" s="510"/>
      <c r="M39" s="518">
        <f t="shared" si="1"/>
        <v>0</v>
      </c>
      <c r="N39" s="519">
        <f t="shared" si="0"/>
        <v>0</v>
      </c>
    </row>
    <row r="40" spans="1:14" ht="23.1" customHeight="1" thickBot="1" x14ac:dyDescent="0.25">
      <c r="A40" s="492"/>
      <c r="B40" s="504"/>
      <c r="C40" s="505"/>
      <c r="D40" s="506"/>
      <c r="E40" s="526"/>
      <c r="F40" s="508"/>
      <c r="G40" s="509"/>
      <c r="H40" s="509"/>
      <c r="I40" s="517"/>
      <c r="J40" s="511"/>
      <c r="K40" s="510"/>
      <c r="L40" s="510"/>
      <c r="M40" s="518">
        <f t="shared" si="1"/>
        <v>0</v>
      </c>
      <c r="N40" s="519">
        <f t="shared" si="0"/>
        <v>0</v>
      </c>
    </row>
    <row r="41" spans="1:14" ht="15" x14ac:dyDescent="0.2">
      <c r="A41" s="512" t="s">
        <v>98</v>
      </c>
      <c r="B41" s="129">
        <v>4</v>
      </c>
      <c r="C41" s="130" t="s">
        <v>150</v>
      </c>
      <c r="D41" s="131"/>
      <c r="E41" s="132"/>
      <c r="F41" s="133"/>
      <c r="G41" s="142">
        <f>SUM(G42:G48)</f>
        <v>36919576.488600001</v>
      </c>
      <c r="H41" s="432"/>
      <c r="I41" s="517"/>
      <c r="J41" s="511"/>
      <c r="K41" s="510"/>
      <c r="L41" s="510"/>
      <c r="M41" s="518">
        <f t="shared" si="1"/>
        <v>0</v>
      </c>
      <c r="N41" s="519">
        <f t="shared" si="0"/>
        <v>0</v>
      </c>
    </row>
    <row r="42" spans="1:14" x14ac:dyDescent="0.2">
      <c r="A42" s="469" t="s">
        <v>151</v>
      </c>
      <c r="B42" s="28" t="s">
        <v>152</v>
      </c>
      <c r="C42" s="470" t="s">
        <v>153</v>
      </c>
      <c r="D42" s="471" t="s">
        <v>90</v>
      </c>
      <c r="E42" s="513">
        <v>15</v>
      </c>
      <c r="F42" s="514">
        <v>24505</v>
      </c>
      <c r="G42" s="515">
        <f t="shared" ref="G42:G47" si="10">F42*E42</f>
        <v>367575</v>
      </c>
      <c r="H42" s="516"/>
      <c r="I42" s="517">
        <f t="shared" ref="I42:I47" si="11">+F42</f>
        <v>24505</v>
      </c>
      <c r="J42" s="511">
        <f t="shared" ref="J42:J46" si="12">I42*1.34</f>
        <v>32836.700000000004</v>
      </c>
      <c r="K42" s="511">
        <f t="shared" ref="K42:K47" si="13">+J42*E42</f>
        <v>492550.50000000006</v>
      </c>
      <c r="L42" s="511">
        <f t="shared" ref="L42:L46" si="14">+I42*E42</f>
        <v>367575</v>
      </c>
      <c r="M42" s="518">
        <f t="shared" si="1"/>
        <v>492551</v>
      </c>
      <c r="N42" s="519">
        <f t="shared" si="0"/>
        <v>-0.49999999994179234</v>
      </c>
    </row>
    <row r="43" spans="1:14" x14ac:dyDescent="0.2">
      <c r="A43" s="469" t="s">
        <v>154</v>
      </c>
      <c r="B43" s="28" t="s">
        <v>155</v>
      </c>
      <c r="C43" s="470" t="s">
        <v>156</v>
      </c>
      <c r="D43" s="471" t="s">
        <v>90</v>
      </c>
      <c r="E43" s="513">
        <v>1</v>
      </c>
      <c r="F43" s="514">
        <v>33970</v>
      </c>
      <c r="G43" s="515">
        <f t="shared" si="10"/>
        <v>33970</v>
      </c>
      <c r="H43" s="516"/>
      <c r="I43" s="517">
        <f t="shared" si="11"/>
        <v>33970</v>
      </c>
      <c r="J43" s="511">
        <f t="shared" si="12"/>
        <v>45519.8</v>
      </c>
      <c r="K43" s="511">
        <f t="shared" si="13"/>
        <v>45519.8</v>
      </c>
      <c r="L43" s="511">
        <f t="shared" si="14"/>
        <v>33970</v>
      </c>
      <c r="M43" s="518">
        <f t="shared" si="1"/>
        <v>45520</v>
      </c>
      <c r="N43" s="519">
        <f t="shared" si="0"/>
        <v>-0.19999999999708962</v>
      </c>
    </row>
    <row r="44" spans="1:14" x14ac:dyDescent="0.2">
      <c r="A44" s="528" t="s">
        <v>157</v>
      </c>
      <c r="B44" s="28" t="s">
        <v>158</v>
      </c>
      <c r="C44" s="470" t="s">
        <v>159</v>
      </c>
      <c r="D44" s="471" t="s">
        <v>104</v>
      </c>
      <c r="E44" s="513">
        <v>246</v>
      </c>
      <c r="F44" s="514">
        <v>9451</v>
      </c>
      <c r="G44" s="515">
        <f t="shared" si="10"/>
        <v>2324946</v>
      </c>
      <c r="H44" s="516"/>
      <c r="I44" s="517">
        <f t="shared" si="11"/>
        <v>9451</v>
      </c>
      <c r="J44" s="511">
        <f t="shared" si="12"/>
        <v>12664.34</v>
      </c>
      <c r="K44" s="511">
        <f t="shared" si="13"/>
        <v>3115427.64</v>
      </c>
      <c r="L44" s="511">
        <f t="shared" si="14"/>
        <v>2324946</v>
      </c>
      <c r="M44" s="518">
        <f t="shared" si="1"/>
        <v>3115428</v>
      </c>
      <c r="N44" s="519">
        <f t="shared" si="0"/>
        <v>-0.35999999986961484</v>
      </c>
    </row>
    <row r="45" spans="1:14" x14ac:dyDescent="0.2">
      <c r="A45" s="528" t="s">
        <v>160</v>
      </c>
      <c r="B45" s="28" t="s">
        <v>161</v>
      </c>
      <c r="C45" s="470" t="s">
        <v>162</v>
      </c>
      <c r="D45" s="471" t="s">
        <v>104</v>
      </c>
      <c r="E45" s="513">
        <v>2800</v>
      </c>
      <c r="F45" s="514">
        <v>6775</v>
      </c>
      <c r="G45" s="515">
        <f t="shared" si="10"/>
        <v>18970000</v>
      </c>
      <c r="H45" s="516"/>
      <c r="I45" s="517">
        <f t="shared" si="11"/>
        <v>6775</v>
      </c>
      <c r="J45" s="511">
        <f t="shared" si="12"/>
        <v>9078.5</v>
      </c>
      <c r="K45" s="511">
        <f t="shared" si="13"/>
        <v>25419800</v>
      </c>
      <c r="L45" s="511">
        <f t="shared" si="14"/>
        <v>18970000</v>
      </c>
      <c r="M45" s="518">
        <f t="shared" si="1"/>
        <v>25419800</v>
      </c>
      <c r="N45" s="519">
        <f t="shared" si="0"/>
        <v>0</v>
      </c>
    </row>
    <row r="46" spans="1:14" x14ac:dyDescent="0.2">
      <c r="A46" s="528" t="s">
        <v>163</v>
      </c>
      <c r="B46" s="28" t="s">
        <v>164</v>
      </c>
      <c r="C46" s="470" t="s">
        <v>165</v>
      </c>
      <c r="D46" s="471" t="s">
        <v>104</v>
      </c>
      <c r="E46" s="513">
        <v>1720.5801200000001</v>
      </c>
      <c r="F46" s="514">
        <v>4905</v>
      </c>
      <c r="G46" s="515">
        <f t="shared" si="10"/>
        <v>8439445.4886000007</v>
      </c>
      <c r="H46" s="516"/>
      <c r="I46" s="517">
        <f t="shared" si="11"/>
        <v>4905</v>
      </c>
      <c r="J46" s="511">
        <f t="shared" si="12"/>
        <v>6572.7000000000007</v>
      </c>
      <c r="K46" s="511">
        <f t="shared" si="13"/>
        <v>11308856.954724003</v>
      </c>
      <c r="L46" s="511">
        <f t="shared" si="14"/>
        <v>8439445.4886000007</v>
      </c>
      <c r="M46" s="518">
        <f t="shared" si="1"/>
        <v>11308857</v>
      </c>
      <c r="N46" s="519">
        <f t="shared" si="0"/>
        <v>-4.5275997370481491E-2</v>
      </c>
    </row>
    <row r="47" spans="1:14" ht="57" customHeight="1" x14ac:dyDescent="0.2">
      <c r="A47" s="529"/>
      <c r="B47" s="172" t="s">
        <v>166</v>
      </c>
      <c r="C47" s="530" t="str">
        <f>+'[3]APUS '!C780</f>
        <v>INSTALACIÓN Y PUESTA EN MARCHA DE MACROMEDIDOR 8" FULL BORE, BRIDADO ANSI 150, PROTOCOLO HART ERROR MÁXIMO 0.2%, TOTALIZADORES INDEPENDIENTE, IP68, 24 VDC, AUTO DIAGNÓSTICO Y CALIBRACIÓN HEARBEAT</v>
      </c>
      <c r="D47" s="531" t="s">
        <v>90</v>
      </c>
      <c r="E47" s="532">
        <v>1</v>
      </c>
      <c r="F47" s="533">
        <v>6783640</v>
      </c>
      <c r="G47" s="515">
        <f t="shared" si="10"/>
        <v>6783640</v>
      </c>
      <c r="H47" s="534"/>
      <c r="I47" s="535">
        <f t="shared" si="11"/>
        <v>6783640</v>
      </c>
      <c r="J47" s="511">
        <f>I47*1.34</f>
        <v>9090077.5999999996</v>
      </c>
      <c r="K47" s="536">
        <f t="shared" si="13"/>
        <v>9090077.5999999996</v>
      </c>
      <c r="L47" s="536">
        <f>+I47*E47</f>
        <v>6783640</v>
      </c>
      <c r="M47" s="518">
        <f t="shared" si="1"/>
        <v>9090078</v>
      </c>
      <c r="N47" s="519">
        <f t="shared" si="0"/>
        <v>-0.40000000037252903</v>
      </c>
    </row>
    <row r="48" spans="1:14" x14ac:dyDescent="0.2">
      <c r="A48" s="520"/>
      <c r="B48" s="147"/>
      <c r="C48" s="470"/>
      <c r="D48" s="471"/>
      <c r="E48" s="521"/>
      <c r="F48" s="514"/>
      <c r="G48" s="474"/>
      <c r="H48" s="480"/>
      <c r="I48" s="517"/>
      <c r="J48" s="511"/>
      <c r="K48" s="510"/>
      <c r="L48" s="510"/>
      <c r="M48" s="518">
        <f t="shared" si="1"/>
        <v>0</v>
      </c>
      <c r="N48" s="519">
        <f t="shared" si="0"/>
        <v>0</v>
      </c>
    </row>
    <row r="49" spans="1:14" ht="15.75" thickBot="1" x14ac:dyDescent="0.25">
      <c r="A49" s="522" t="s">
        <v>105</v>
      </c>
      <c r="B49" s="153"/>
      <c r="C49" s="523"/>
      <c r="D49" s="524"/>
      <c r="E49" s="525"/>
      <c r="F49" s="157" t="s">
        <v>367</v>
      </c>
      <c r="G49" s="169">
        <f>SUM(G42:G48)</f>
        <v>36919576.488600001</v>
      </c>
      <c r="H49" s="431"/>
      <c r="I49" s="517"/>
      <c r="J49" s="511"/>
      <c r="K49" s="510"/>
      <c r="L49" s="510"/>
      <c r="M49" s="518">
        <f t="shared" si="1"/>
        <v>0</v>
      </c>
      <c r="N49" s="519">
        <f t="shared" si="0"/>
        <v>0</v>
      </c>
    </row>
    <row r="50" spans="1:14" ht="23.1" customHeight="1" thickBot="1" x14ac:dyDescent="0.25">
      <c r="A50" s="492"/>
      <c r="B50" s="504"/>
      <c r="C50" s="505"/>
      <c r="D50" s="506"/>
      <c r="E50" s="526"/>
      <c r="F50" s="508"/>
      <c r="G50" s="509"/>
      <c r="H50" s="509"/>
      <c r="I50" s="517"/>
      <c r="J50" s="511"/>
      <c r="K50" s="510"/>
      <c r="L50" s="510"/>
      <c r="M50" s="518">
        <f t="shared" si="1"/>
        <v>0</v>
      </c>
      <c r="N50" s="519">
        <f t="shared" si="0"/>
        <v>0</v>
      </c>
    </row>
    <row r="51" spans="1:14" ht="15" x14ac:dyDescent="0.2">
      <c r="A51" s="512" t="s">
        <v>98</v>
      </c>
      <c r="B51" s="129">
        <v>5</v>
      </c>
      <c r="C51" s="130" t="s">
        <v>167</v>
      </c>
      <c r="D51" s="131"/>
      <c r="E51" s="132"/>
      <c r="F51" s="133"/>
      <c r="G51" s="134">
        <f>SUM(G52:G93)</f>
        <v>145066804</v>
      </c>
      <c r="H51" s="428"/>
      <c r="I51" s="517"/>
      <c r="J51" s="511"/>
      <c r="K51" s="510"/>
      <c r="L51" s="510"/>
      <c r="M51" s="518">
        <f t="shared" si="1"/>
        <v>0</v>
      </c>
      <c r="N51" s="519">
        <f t="shared" si="0"/>
        <v>0</v>
      </c>
    </row>
    <row r="52" spans="1:14" x14ac:dyDescent="0.2">
      <c r="A52" s="537"/>
      <c r="B52" s="28" t="s">
        <v>168</v>
      </c>
      <c r="C52" s="470" t="s">
        <v>169</v>
      </c>
      <c r="D52" s="471" t="s">
        <v>90</v>
      </c>
      <c r="E52" s="513">
        <v>13</v>
      </c>
      <c r="F52" s="514">
        <v>262245</v>
      </c>
      <c r="G52" s="515">
        <f t="shared" ref="G52:G92" si="15">F52*E52</f>
        <v>3409185</v>
      </c>
      <c r="H52" s="516"/>
      <c r="I52" s="517">
        <f t="shared" ref="I52:I92" si="16">+F52</f>
        <v>262245</v>
      </c>
      <c r="J52" s="511">
        <f t="shared" ref="J52:J92" si="17">I52*1.34</f>
        <v>351408.30000000005</v>
      </c>
      <c r="K52" s="511">
        <f t="shared" ref="K52:K92" si="18">+J52*E52</f>
        <v>4568307.9000000004</v>
      </c>
      <c r="L52" s="511">
        <f t="shared" ref="L52:L92" si="19">+I52*E52</f>
        <v>3409185</v>
      </c>
      <c r="M52" s="518">
        <f t="shared" si="1"/>
        <v>4568308</v>
      </c>
      <c r="N52" s="519">
        <f t="shared" si="0"/>
        <v>-9.999999962747097E-2</v>
      </c>
    </row>
    <row r="53" spans="1:14" x14ac:dyDescent="0.2">
      <c r="A53" s="537"/>
      <c r="B53" s="28" t="s">
        <v>170</v>
      </c>
      <c r="C53" s="470" t="s">
        <v>171</v>
      </c>
      <c r="D53" s="471" t="s">
        <v>90</v>
      </c>
      <c r="E53" s="513">
        <v>2</v>
      </c>
      <c r="F53" s="514">
        <v>373467</v>
      </c>
      <c r="G53" s="515">
        <f t="shared" si="15"/>
        <v>746934</v>
      </c>
      <c r="H53" s="516"/>
      <c r="I53" s="517">
        <f t="shared" si="16"/>
        <v>373467</v>
      </c>
      <c r="J53" s="511">
        <f t="shared" si="17"/>
        <v>500445.78</v>
      </c>
      <c r="K53" s="511">
        <f t="shared" si="18"/>
        <v>1000891.56</v>
      </c>
      <c r="L53" s="511">
        <f t="shared" si="19"/>
        <v>746934</v>
      </c>
      <c r="M53" s="518">
        <f t="shared" si="1"/>
        <v>1000892</v>
      </c>
      <c r="N53" s="519">
        <f t="shared" si="0"/>
        <v>-0.43999999994412065</v>
      </c>
    </row>
    <row r="54" spans="1:14" x14ac:dyDescent="0.2">
      <c r="A54" s="537"/>
      <c r="B54" s="28" t="s">
        <v>172</v>
      </c>
      <c r="C54" s="470" t="s">
        <v>173</v>
      </c>
      <c r="D54" s="471" t="s">
        <v>90</v>
      </c>
      <c r="E54" s="513">
        <v>9</v>
      </c>
      <c r="F54" s="514">
        <v>433288</v>
      </c>
      <c r="G54" s="515">
        <f t="shared" si="15"/>
        <v>3899592</v>
      </c>
      <c r="H54" s="516"/>
      <c r="I54" s="517">
        <f t="shared" si="16"/>
        <v>433288</v>
      </c>
      <c r="J54" s="511">
        <f t="shared" si="17"/>
        <v>580605.92000000004</v>
      </c>
      <c r="K54" s="511">
        <f t="shared" si="18"/>
        <v>5225453.28</v>
      </c>
      <c r="L54" s="511">
        <f t="shared" si="19"/>
        <v>3899592</v>
      </c>
      <c r="M54" s="518">
        <f t="shared" si="1"/>
        <v>5225453</v>
      </c>
      <c r="N54" s="519">
        <f t="shared" si="0"/>
        <v>0.28000000026077032</v>
      </c>
    </row>
    <row r="55" spans="1:14" x14ac:dyDescent="0.2">
      <c r="A55" s="469" t="s">
        <v>174</v>
      </c>
      <c r="B55" s="28" t="s">
        <v>175</v>
      </c>
      <c r="C55" s="470" t="s">
        <v>176</v>
      </c>
      <c r="D55" s="471" t="s">
        <v>90</v>
      </c>
      <c r="E55" s="513">
        <v>2</v>
      </c>
      <c r="F55" s="514">
        <v>823327</v>
      </c>
      <c r="G55" s="515">
        <f t="shared" si="15"/>
        <v>1646654</v>
      </c>
      <c r="H55" s="516"/>
      <c r="I55" s="517">
        <f t="shared" si="16"/>
        <v>823327</v>
      </c>
      <c r="J55" s="511">
        <f t="shared" si="17"/>
        <v>1103258.1800000002</v>
      </c>
      <c r="K55" s="511">
        <f t="shared" si="18"/>
        <v>2206516.3600000003</v>
      </c>
      <c r="L55" s="511">
        <f t="shared" si="19"/>
        <v>1646654</v>
      </c>
      <c r="M55" s="518">
        <f t="shared" si="1"/>
        <v>2206516</v>
      </c>
      <c r="N55" s="519">
        <f t="shared" si="0"/>
        <v>0.36000000033527613</v>
      </c>
    </row>
    <row r="56" spans="1:14" x14ac:dyDescent="0.2">
      <c r="A56" s="469" t="s">
        <v>177</v>
      </c>
      <c r="B56" s="28" t="s">
        <v>178</v>
      </c>
      <c r="C56" s="470" t="s">
        <v>179</v>
      </c>
      <c r="D56" s="471" t="s">
        <v>90</v>
      </c>
      <c r="E56" s="513">
        <v>4</v>
      </c>
      <c r="F56" s="514">
        <v>191027</v>
      </c>
      <c r="G56" s="515">
        <f t="shared" si="15"/>
        <v>764108</v>
      </c>
      <c r="H56" s="516"/>
      <c r="I56" s="517">
        <f t="shared" si="16"/>
        <v>191027</v>
      </c>
      <c r="J56" s="511">
        <f t="shared" si="17"/>
        <v>255976.18000000002</v>
      </c>
      <c r="K56" s="511">
        <f t="shared" si="18"/>
        <v>1023904.7200000001</v>
      </c>
      <c r="L56" s="511">
        <f t="shared" si="19"/>
        <v>764108</v>
      </c>
      <c r="M56" s="518">
        <f t="shared" si="1"/>
        <v>1023905</v>
      </c>
      <c r="N56" s="519">
        <f t="shared" si="0"/>
        <v>-0.27999999991152436</v>
      </c>
    </row>
    <row r="57" spans="1:14" x14ac:dyDescent="0.2">
      <c r="A57" s="469" t="s">
        <v>180</v>
      </c>
      <c r="B57" s="28" t="s">
        <v>181</v>
      </c>
      <c r="C57" s="470" t="s">
        <v>182</v>
      </c>
      <c r="D57" s="471" t="s">
        <v>90</v>
      </c>
      <c r="E57" s="513">
        <v>2</v>
      </c>
      <c r="F57" s="514">
        <v>288798</v>
      </c>
      <c r="G57" s="515">
        <f t="shared" si="15"/>
        <v>577596</v>
      </c>
      <c r="H57" s="516"/>
      <c r="I57" s="517">
        <f t="shared" si="16"/>
        <v>288798</v>
      </c>
      <c r="J57" s="511">
        <f t="shared" si="17"/>
        <v>386989.32</v>
      </c>
      <c r="K57" s="511">
        <f t="shared" si="18"/>
        <v>773978.64</v>
      </c>
      <c r="L57" s="511">
        <f t="shared" si="19"/>
        <v>577596</v>
      </c>
      <c r="M57" s="518">
        <f t="shared" si="1"/>
        <v>773979</v>
      </c>
      <c r="N57" s="519">
        <f t="shared" si="0"/>
        <v>-0.35999999998603016</v>
      </c>
    </row>
    <row r="58" spans="1:14" x14ac:dyDescent="0.2">
      <c r="A58" s="469" t="s">
        <v>183</v>
      </c>
      <c r="B58" s="28" t="s">
        <v>184</v>
      </c>
      <c r="C58" s="470" t="s">
        <v>185</v>
      </c>
      <c r="D58" s="471" t="s">
        <v>90</v>
      </c>
      <c r="E58" s="513">
        <v>2</v>
      </c>
      <c r="F58" s="514">
        <v>152024</v>
      </c>
      <c r="G58" s="515">
        <f t="shared" si="15"/>
        <v>304048</v>
      </c>
      <c r="H58" s="516"/>
      <c r="I58" s="517">
        <f t="shared" si="16"/>
        <v>152024</v>
      </c>
      <c r="J58" s="511">
        <f t="shared" si="17"/>
        <v>203712.16</v>
      </c>
      <c r="K58" s="511">
        <f t="shared" si="18"/>
        <v>407424.32</v>
      </c>
      <c r="L58" s="511">
        <f t="shared" si="19"/>
        <v>304048</v>
      </c>
      <c r="M58" s="518">
        <f t="shared" si="1"/>
        <v>407424</v>
      </c>
      <c r="N58" s="519">
        <f t="shared" si="0"/>
        <v>0.32000000000698492</v>
      </c>
    </row>
    <row r="59" spans="1:14" x14ac:dyDescent="0.2">
      <c r="A59" s="469" t="s">
        <v>186</v>
      </c>
      <c r="B59" s="28" t="s">
        <v>187</v>
      </c>
      <c r="C59" s="470" t="s">
        <v>188</v>
      </c>
      <c r="D59" s="471" t="s">
        <v>90</v>
      </c>
      <c r="E59" s="513">
        <v>10</v>
      </c>
      <c r="F59" s="514">
        <v>351815</v>
      </c>
      <c r="G59" s="515">
        <f t="shared" si="15"/>
        <v>3518150</v>
      </c>
      <c r="H59" s="516"/>
      <c r="I59" s="517">
        <f t="shared" si="16"/>
        <v>351815</v>
      </c>
      <c r="J59" s="511">
        <f t="shared" si="17"/>
        <v>471432.10000000003</v>
      </c>
      <c r="K59" s="511">
        <f t="shared" si="18"/>
        <v>4714321</v>
      </c>
      <c r="L59" s="511">
        <f t="shared" si="19"/>
        <v>3518150</v>
      </c>
      <c r="M59" s="518">
        <f t="shared" si="1"/>
        <v>4714321</v>
      </c>
      <c r="N59" s="519">
        <f t="shared" si="0"/>
        <v>0</v>
      </c>
    </row>
    <row r="60" spans="1:14" x14ac:dyDescent="0.2">
      <c r="A60" s="469" t="s">
        <v>189</v>
      </c>
      <c r="B60" s="28" t="s">
        <v>190</v>
      </c>
      <c r="C60" s="470" t="s">
        <v>191</v>
      </c>
      <c r="D60" s="471" t="s">
        <v>90</v>
      </c>
      <c r="E60" s="513">
        <v>13</v>
      </c>
      <c r="F60" s="514">
        <v>111668</v>
      </c>
      <c r="G60" s="515">
        <f t="shared" si="15"/>
        <v>1451684</v>
      </c>
      <c r="H60" s="516"/>
      <c r="I60" s="517">
        <f t="shared" si="16"/>
        <v>111668</v>
      </c>
      <c r="J60" s="511">
        <f t="shared" si="17"/>
        <v>149635.12</v>
      </c>
      <c r="K60" s="511">
        <f t="shared" si="18"/>
        <v>1945256.56</v>
      </c>
      <c r="L60" s="511">
        <f t="shared" si="19"/>
        <v>1451684</v>
      </c>
      <c r="M60" s="518">
        <f t="shared" si="1"/>
        <v>1945257</v>
      </c>
      <c r="N60" s="519">
        <f t="shared" si="0"/>
        <v>-0.43999999994412065</v>
      </c>
    </row>
    <row r="61" spans="1:14" x14ac:dyDescent="0.2">
      <c r="A61" s="469" t="s">
        <v>192</v>
      </c>
      <c r="B61" s="28" t="s">
        <v>193</v>
      </c>
      <c r="C61" s="470" t="s">
        <v>194</v>
      </c>
      <c r="D61" s="471" t="s">
        <v>90</v>
      </c>
      <c r="E61" s="513">
        <v>22</v>
      </c>
      <c r="F61" s="514">
        <v>51306</v>
      </c>
      <c r="G61" s="515">
        <f t="shared" si="15"/>
        <v>1128732</v>
      </c>
      <c r="H61" s="516"/>
      <c r="I61" s="517">
        <f t="shared" si="16"/>
        <v>51306</v>
      </c>
      <c r="J61" s="511">
        <f t="shared" si="17"/>
        <v>68750.040000000008</v>
      </c>
      <c r="K61" s="511">
        <f t="shared" si="18"/>
        <v>1512500.8800000001</v>
      </c>
      <c r="L61" s="511">
        <f t="shared" si="19"/>
        <v>1128732</v>
      </c>
      <c r="M61" s="518">
        <f t="shared" si="1"/>
        <v>1512501</v>
      </c>
      <c r="N61" s="519">
        <f t="shared" si="0"/>
        <v>-0.11999999987892807</v>
      </c>
    </row>
    <row r="62" spans="1:14" x14ac:dyDescent="0.2">
      <c r="A62" s="469" t="s">
        <v>195</v>
      </c>
      <c r="B62" s="28" t="s">
        <v>196</v>
      </c>
      <c r="C62" s="470" t="s">
        <v>197</v>
      </c>
      <c r="D62" s="471" t="s">
        <v>90</v>
      </c>
      <c r="E62" s="513">
        <v>23</v>
      </c>
      <c r="F62" s="514">
        <v>479462</v>
      </c>
      <c r="G62" s="515">
        <f t="shared" si="15"/>
        <v>11027626</v>
      </c>
      <c r="H62" s="516"/>
      <c r="I62" s="517">
        <f t="shared" si="16"/>
        <v>479462</v>
      </c>
      <c r="J62" s="511">
        <f t="shared" si="17"/>
        <v>642479.08000000007</v>
      </c>
      <c r="K62" s="511">
        <f t="shared" si="18"/>
        <v>14777018.840000002</v>
      </c>
      <c r="L62" s="511">
        <f t="shared" si="19"/>
        <v>11027626</v>
      </c>
      <c r="M62" s="518">
        <f t="shared" si="1"/>
        <v>14777019</v>
      </c>
      <c r="N62" s="519">
        <f t="shared" si="0"/>
        <v>-0.15999999828636646</v>
      </c>
    </row>
    <row r="63" spans="1:14" x14ac:dyDescent="0.2">
      <c r="A63" s="469" t="s">
        <v>198</v>
      </c>
      <c r="B63" s="28" t="s">
        <v>199</v>
      </c>
      <c r="C63" s="470" t="s">
        <v>200</v>
      </c>
      <c r="D63" s="471" t="s">
        <v>90</v>
      </c>
      <c r="E63" s="513">
        <v>31</v>
      </c>
      <c r="F63" s="514">
        <v>99517</v>
      </c>
      <c r="G63" s="515">
        <f t="shared" si="15"/>
        <v>3085027</v>
      </c>
      <c r="H63" s="516"/>
      <c r="I63" s="517">
        <f t="shared" si="16"/>
        <v>99517</v>
      </c>
      <c r="J63" s="511">
        <f t="shared" si="17"/>
        <v>133352.78</v>
      </c>
      <c r="K63" s="511">
        <f t="shared" si="18"/>
        <v>4133936.18</v>
      </c>
      <c r="L63" s="511">
        <f t="shared" si="19"/>
        <v>3085027</v>
      </c>
      <c r="M63" s="518">
        <f t="shared" si="1"/>
        <v>4133936</v>
      </c>
      <c r="N63" s="519">
        <f t="shared" si="0"/>
        <v>0.18000000016763806</v>
      </c>
    </row>
    <row r="64" spans="1:14" x14ac:dyDescent="0.2">
      <c r="A64" s="469" t="s">
        <v>201</v>
      </c>
      <c r="B64" s="28" t="s">
        <v>202</v>
      </c>
      <c r="C64" s="470" t="s">
        <v>203</v>
      </c>
      <c r="D64" s="471" t="s">
        <v>90</v>
      </c>
      <c r="E64" s="513">
        <v>11</v>
      </c>
      <c r="F64" s="514">
        <v>2119995</v>
      </c>
      <c r="G64" s="515">
        <f t="shared" si="15"/>
        <v>23319945</v>
      </c>
      <c r="H64" s="516"/>
      <c r="I64" s="517">
        <f t="shared" si="16"/>
        <v>2119995</v>
      </c>
      <c r="J64" s="511">
        <f t="shared" si="17"/>
        <v>2840793.3000000003</v>
      </c>
      <c r="K64" s="511">
        <f t="shared" si="18"/>
        <v>31248726.300000004</v>
      </c>
      <c r="L64" s="511">
        <f t="shared" si="19"/>
        <v>23319945</v>
      </c>
      <c r="M64" s="518">
        <f t="shared" si="1"/>
        <v>31248726</v>
      </c>
      <c r="N64" s="519">
        <f t="shared" si="0"/>
        <v>0.30000000447034836</v>
      </c>
    </row>
    <row r="65" spans="1:14" x14ac:dyDescent="0.2">
      <c r="A65" s="469" t="s">
        <v>204</v>
      </c>
      <c r="B65" s="28" t="s">
        <v>205</v>
      </c>
      <c r="C65" s="470" t="s">
        <v>206</v>
      </c>
      <c r="D65" s="471" t="s">
        <v>90</v>
      </c>
      <c r="E65" s="513">
        <v>1</v>
      </c>
      <c r="F65" s="514">
        <v>515729</v>
      </c>
      <c r="G65" s="515">
        <f t="shared" si="15"/>
        <v>515729</v>
      </c>
      <c r="H65" s="516"/>
      <c r="I65" s="517">
        <f t="shared" si="16"/>
        <v>515729</v>
      </c>
      <c r="J65" s="511">
        <f t="shared" si="17"/>
        <v>691076.86</v>
      </c>
      <c r="K65" s="511">
        <f t="shared" si="18"/>
        <v>691076.86</v>
      </c>
      <c r="L65" s="511">
        <f t="shared" si="19"/>
        <v>515729</v>
      </c>
      <c r="M65" s="518">
        <f t="shared" si="1"/>
        <v>691077</v>
      </c>
      <c r="N65" s="519">
        <f t="shared" si="0"/>
        <v>-0.14000000001396984</v>
      </c>
    </row>
    <row r="66" spans="1:14" x14ac:dyDescent="0.2">
      <c r="A66" s="469" t="s">
        <v>207</v>
      </c>
      <c r="B66" s="28" t="s">
        <v>208</v>
      </c>
      <c r="C66" s="470" t="s">
        <v>209</v>
      </c>
      <c r="D66" s="471" t="s">
        <v>90</v>
      </c>
      <c r="E66" s="513">
        <v>27</v>
      </c>
      <c r="F66" s="514">
        <v>191382</v>
      </c>
      <c r="G66" s="515">
        <f t="shared" si="15"/>
        <v>5167314</v>
      </c>
      <c r="H66" s="516"/>
      <c r="I66" s="517">
        <f t="shared" si="16"/>
        <v>191382</v>
      </c>
      <c r="J66" s="511">
        <f t="shared" si="17"/>
        <v>256451.88</v>
      </c>
      <c r="K66" s="511">
        <f t="shared" si="18"/>
        <v>6924200.7599999998</v>
      </c>
      <c r="L66" s="511">
        <f t="shared" si="19"/>
        <v>5167314</v>
      </c>
      <c r="M66" s="518">
        <f t="shared" si="1"/>
        <v>6924201</v>
      </c>
      <c r="N66" s="519">
        <f t="shared" si="0"/>
        <v>-0.24000000022351742</v>
      </c>
    </row>
    <row r="67" spans="1:14" x14ac:dyDescent="0.2">
      <c r="A67" s="469" t="s">
        <v>210</v>
      </c>
      <c r="B67" s="28" t="s">
        <v>211</v>
      </c>
      <c r="C67" s="470" t="s">
        <v>212</v>
      </c>
      <c r="D67" s="471" t="s">
        <v>90</v>
      </c>
      <c r="E67" s="513">
        <v>22</v>
      </c>
      <c r="F67" s="514">
        <v>213082</v>
      </c>
      <c r="G67" s="515">
        <f t="shared" si="15"/>
        <v>4687804</v>
      </c>
      <c r="H67" s="516"/>
      <c r="I67" s="517">
        <f t="shared" si="16"/>
        <v>213082</v>
      </c>
      <c r="J67" s="511">
        <f t="shared" si="17"/>
        <v>285529.88</v>
      </c>
      <c r="K67" s="511">
        <f t="shared" si="18"/>
        <v>6281657.3600000003</v>
      </c>
      <c r="L67" s="511">
        <f t="shared" si="19"/>
        <v>4687804</v>
      </c>
      <c r="M67" s="518">
        <f t="shared" si="1"/>
        <v>6281657</v>
      </c>
      <c r="N67" s="519">
        <f t="shared" si="0"/>
        <v>0.36000000033527613</v>
      </c>
    </row>
    <row r="68" spans="1:14" x14ac:dyDescent="0.2">
      <c r="A68" s="469" t="s">
        <v>213</v>
      </c>
      <c r="B68" s="28" t="s">
        <v>214</v>
      </c>
      <c r="C68" s="470" t="s">
        <v>215</v>
      </c>
      <c r="D68" s="471" t="s">
        <v>90</v>
      </c>
      <c r="E68" s="513">
        <v>2</v>
      </c>
      <c r="F68" s="514">
        <v>135345</v>
      </c>
      <c r="G68" s="515">
        <f t="shared" si="15"/>
        <v>270690</v>
      </c>
      <c r="H68" s="516"/>
      <c r="I68" s="517">
        <f t="shared" si="16"/>
        <v>135345</v>
      </c>
      <c r="J68" s="511">
        <f t="shared" si="17"/>
        <v>181362.30000000002</v>
      </c>
      <c r="K68" s="511">
        <f t="shared" si="18"/>
        <v>362724.60000000003</v>
      </c>
      <c r="L68" s="511">
        <f t="shared" si="19"/>
        <v>270690</v>
      </c>
      <c r="M68" s="518">
        <f t="shared" si="1"/>
        <v>362725</v>
      </c>
      <c r="N68" s="519">
        <f t="shared" si="0"/>
        <v>-0.3999999999650754</v>
      </c>
    </row>
    <row r="69" spans="1:14" x14ac:dyDescent="0.2">
      <c r="A69" s="469" t="s">
        <v>216</v>
      </c>
      <c r="B69" s="28" t="s">
        <v>217</v>
      </c>
      <c r="C69" s="470" t="s">
        <v>218</v>
      </c>
      <c r="D69" s="471" t="s">
        <v>90</v>
      </c>
      <c r="E69" s="513">
        <v>67</v>
      </c>
      <c r="F69" s="514">
        <v>109305</v>
      </c>
      <c r="G69" s="515">
        <f t="shared" si="15"/>
        <v>7323435</v>
      </c>
      <c r="H69" s="516"/>
      <c r="I69" s="517">
        <f t="shared" si="16"/>
        <v>109305</v>
      </c>
      <c r="J69" s="511">
        <f t="shared" si="17"/>
        <v>146468.70000000001</v>
      </c>
      <c r="K69" s="511">
        <f t="shared" si="18"/>
        <v>9813402.9000000004</v>
      </c>
      <c r="L69" s="511">
        <f t="shared" si="19"/>
        <v>7323435</v>
      </c>
      <c r="M69" s="518">
        <f t="shared" si="1"/>
        <v>9813403</v>
      </c>
      <c r="N69" s="519">
        <f t="shared" si="0"/>
        <v>-9.999999962747097E-2</v>
      </c>
    </row>
    <row r="70" spans="1:14" x14ac:dyDescent="0.2">
      <c r="A70" s="469" t="s">
        <v>219</v>
      </c>
      <c r="B70" s="28" t="s">
        <v>220</v>
      </c>
      <c r="C70" s="470" t="s">
        <v>221</v>
      </c>
      <c r="D70" s="471" t="s">
        <v>90</v>
      </c>
      <c r="E70" s="513">
        <v>5</v>
      </c>
      <c r="F70" s="514">
        <v>1102529</v>
      </c>
      <c r="G70" s="515">
        <f t="shared" si="15"/>
        <v>5512645</v>
      </c>
      <c r="H70" s="516"/>
      <c r="I70" s="517">
        <f t="shared" si="16"/>
        <v>1102529</v>
      </c>
      <c r="J70" s="511">
        <f t="shared" si="17"/>
        <v>1477388.86</v>
      </c>
      <c r="K70" s="511">
        <f t="shared" si="18"/>
        <v>7386944.3000000007</v>
      </c>
      <c r="L70" s="511">
        <f t="shared" si="19"/>
        <v>5512645</v>
      </c>
      <c r="M70" s="518">
        <f t="shared" si="1"/>
        <v>7386944</v>
      </c>
      <c r="N70" s="519">
        <f t="shared" si="0"/>
        <v>0.30000000074505806</v>
      </c>
    </row>
    <row r="71" spans="1:14" x14ac:dyDescent="0.2">
      <c r="A71" s="469" t="s">
        <v>222</v>
      </c>
      <c r="B71" s="28" t="s">
        <v>223</v>
      </c>
      <c r="C71" s="470" t="s">
        <v>224</v>
      </c>
      <c r="D71" s="471" t="s">
        <v>90</v>
      </c>
      <c r="E71" s="513">
        <v>12</v>
      </c>
      <c r="F71" s="514">
        <v>144088</v>
      </c>
      <c r="G71" s="515">
        <f t="shared" si="15"/>
        <v>1729056</v>
      </c>
      <c r="H71" s="516"/>
      <c r="I71" s="517">
        <f t="shared" si="16"/>
        <v>144088</v>
      </c>
      <c r="J71" s="511">
        <f t="shared" si="17"/>
        <v>193077.92</v>
      </c>
      <c r="K71" s="511">
        <f t="shared" si="18"/>
        <v>2316935.04</v>
      </c>
      <c r="L71" s="511">
        <f t="shared" si="19"/>
        <v>1729056</v>
      </c>
      <c r="M71" s="518">
        <f t="shared" si="1"/>
        <v>2316935</v>
      </c>
      <c r="N71" s="519">
        <f t="shared" si="0"/>
        <v>4.0000000037252903E-2</v>
      </c>
    </row>
    <row r="72" spans="1:14" x14ac:dyDescent="0.2">
      <c r="A72" s="469" t="s">
        <v>225</v>
      </c>
      <c r="B72" s="28" t="s">
        <v>226</v>
      </c>
      <c r="C72" s="470" t="s">
        <v>227</v>
      </c>
      <c r="D72" s="471" t="s">
        <v>90</v>
      </c>
      <c r="E72" s="513">
        <v>13</v>
      </c>
      <c r="F72" s="514">
        <v>1091293</v>
      </c>
      <c r="G72" s="515">
        <f t="shared" si="15"/>
        <v>14186809</v>
      </c>
      <c r="H72" s="516"/>
      <c r="I72" s="517">
        <f t="shared" si="16"/>
        <v>1091293</v>
      </c>
      <c r="J72" s="511">
        <f t="shared" si="17"/>
        <v>1462332.62</v>
      </c>
      <c r="K72" s="511">
        <f t="shared" si="18"/>
        <v>19010324.060000002</v>
      </c>
      <c r="L72" s="511">
        <f t="shared" si="19"/>
        <v>14186809</v>
      </c>
      <c r="M72" s="518">
        <f t="shared" si="1"/>
        <v>19010324</v>
      </c>
      <c r="N72" s="519">
        <f t="shared" si="0"/>
        <v>6.0000002384185791E-2</v>
      </c>
    </row>
    <row r="73" spans="1:14" x14ac:dyDescent="0.2">
      <c r="A73" s="469" t="s">
        <v>228</v>
      </c>
      <c r="B73" s="28" t="s">
        <v>229</v>
      </c>
      <c r="C73" s="470" t="s">
        <v>230</v>
      </c>
      <c r="D73" s="471" t="s">
        <v>90</v>
      </c>
      <c r="E73" s="513">
        <v>5</v>
      </c>
      <c r="F73" s="514">
        <v>24700</v>
      </c>
      <c r="G73" s="515">
        <f t="shared" si="15"/>
        <v>123500</v>
      </c>
      <c r="H73" s="516"/>
      <c r="I73" s="517">
        <f t="shared" si="16"/>
        <v>24700</v>
      </c>
      <c r="J73" s="511">
        <f t="shared" si="17"/>
        <v>33098</v>
      </c>
      <c r="K73" s="511">
        <f t="shared" si="18"/>
        <v>165490</v>
      </c>
      <c r="L73" s="511">
        <f t="shared" si="19"/>
        <v>123500</v>
      </c>
      <c r="M73" s="518">
        <f t="shared" si="1"/>
        <v>165490</v>
      </c>
      <c r="N73" s="519">
        <f t="shared" si="0"/>
        <v>0</v>
      </c>
    </row>
    <row r="74" spans="1:14" ht="25.5" x14ac:dyDescent="0.2">
      <c r="A74" s="469" t="s">
        <v>231</v>
      </c>
      <c r="B74" s="28" t="s">
        <v>232</v>
      </c>
      <c r="C74" s="470" t="s">
        <v>233</v>
      </c>
      <c r="D74" s="471" t="s">
        <v>90</v>
      </c>
      <c r="E74" s="513">
        <v>2</v>
      </c>
      <c r="F74" s="514">
        <v>266001</v>
      </c>
      <c r="G74" s="515">
        <f t="shared" si="15"/>
        <v>532002</v>
      </c>
      <c r="H74" s="516"/>
      <c r="I74" s="517">
        <f t="shared" si="16"/>
        <v>266001</v>
      </c>
      <c r="J74" s="511">
        <f t="shared" si="17"/>
        <v>356441.34</v>
      </c>
      <c r="K74" s="511">
        <f t="shared" si="18"/>
        <v>712882.68</v>
      </c>
      <c r="L74" s="511">
        <f t="shared" si="19"/>
        <v>532002</v>
      </c>
      <c r="M74" s="518">
        <f t="shared" si="1"/>
        <v>712883</v>
      </c>
      <c r="N74" s="519">
        <f t="shared" si="0"/>
        <v>-0.31999999994877726</v>
      </c>
    </row>
    <row r="75" spans="1:14" x14ac:dyDescent="0.2">
      <c r="A75" s="469" t="s">
        <v>234</v>
      </c>
      <c r="B75" s="28" t="s">
        <v>235</v>
      </c>
      <c r="C75" s="470" t="s">
        <v>236</v>
      </c>
      <c r="D75" s="471" t="s">
        <v>90</v>
      </c>
      <c r="E75" s="513">
        <v>9</v>
      </c>
      <c r="F75" s="514">
        <v>1092237</v>
      </c>
      <c r="G75" s="515">
        <f t="shared" si="15"/>
        <v>9830133</v>
      </c>
      <c r="H75" s="516"/>
      <c r="I75" s="517">
        <f t="shared" si="16"/>
        <v>1092237</v>
      </c>
      <c r="J75" s="511">
        <f t="shared" si="17"/>
        <v>1463597.58</v>
      </c>
      <c r="K75" s="511">
        <f t="shared" si="18"/>
        <v>13172378.220000001</v>
      </c>
      <c r="L75" s="511">
        <f t="shared" si="19"/>
        <v>9830133</v>
      </c>
      <c r="M75" s="518">
        <f t="shared" si="1"/>
        <v>13172378</v>
      </c>
      <c r="N75" s="519">
        <f t="shared" si="0"/>
        <v>0.22000000067055225</v>
      </c>
    </row>
    <row r="76" spans="1:14" x14ac:dyDescent="0.2">
      <c r="A76" s="528" t="s">
        <v>237</v>
      </c>
      <c r="B76" s="28" t="s">
        <v>238</v>
      </c>
      <c r="C76" s="470" t="s">
        <v>179</v>
      </c>
      <c r="D76" s="471" t="s">
        <v>90</v>
      </c>
      <c r="E76" s="513">
        <v>4</v>
      </c>
      <c r="F76" s="514">
        <v>191009</v>
      </c>
      <c r="G76" s="515">
        <f t="shared" si="15"/>
        <v>764036</v>
      </c>
      <c r="H76" s="516"/>
      <c r="I76" s="517">
        <f t="shared" si="16"/>
        <v>191009</v>
      </c>
      <c r="J76" s="511">
        <f t="shared" si="17"/>
        <v>255952.06000000003</v>
      </c>
      <c r="K76" s="511">
        <f t="shared" si="18"/>
        <v>1023808.2400000001</v>
      </c>
      <c r="L76" s="511">
        <f t="shared" si="19"/>
        <v>764036</v>
      </c>
      <c r="M76" s="518">
        <f t="shared" si="1"/>
        <v>1023808</v>
      </c>
      <c r="N76" s="519">
        <f t="shared" si="0"/>
        <v>0.2400000001071021</v>
      </c>
    </row>
    <row r="77" spans="1:14" x14ac:dyDescent="0.2">
      <c r="A77" s="469" t="s">
        <v>239</v>
      </c>
      <c r="B77" s="28" t="s">
        <v>240</v>
      </c>
      <c r="C77" s="470" t="s">
        <v>241</v>
      </c>
      <c r="D77" s="471" t="s">
        <v>90</v>
      </c>
      <c r="E77" s="513">
        <v>2</v>
      </c>
      <c r="F77" s="514">
        <v>284628</v>
      </c>
      <c r="G77" s="515">
        <f t="shared" si="15"/>
        <v>569256</v>
      </c>
      <c r="H77" s="516"/>
      <c r="I77" s="517">
        <f t="shared" si="16"/>
        <v>284628</v>
      </c>
      <c r="J77" s="511">
        <f t="shared" si="17"/>
        <v>381401.52</v>
      </c>
      <c r="K77" s="511">
        <f t="shared" si="18"/>
        <v>762803.04</v>
      </c>
      <c r="L77" s="511">
        <f t="shared" si="19"/>
        <v>569256</v>
      </c>
      <c r="M77" s="518">
        <f t="shared" si="1"/>
        <v>762803</v>
      </c>
      <c r="N77" s="519">
        <f t="shared" si="0"/>
        <v>4.0000000037252903E-2</v>
      </c>
    </row>
    <row r="78" spans="1:14" x14ac:dyDescent="0.2">
      <c r="A78" s="469" t="s">
        <v>242</v>
      </c>
      <c r="B78" s="28" t="s">
        <v>243</v>
      </c>
      <c r="C78" s="470" t="s">
        <v>244</v>
      </c>
      <c r="D78" s="471" t="s">
        <v>90</v>
      </c>
      <c r="E78" s="513">
        <v>1</v>
      </c>
      <c r="F78" s="514">
        <v>632587</v>
      </c>
      <c r="G78" s="515">
        <f t="shared" si="15"/>
        <v>632587</v>
      </c>
      <c r="H78" s="516"/>
      <c r="I78" s="517">
        <f t="shared" si="16"/>
        <v>632587</v>
      </c>
      <c r="J78" s="511">
        <f t="shared" si="17"/>
        <v>847666.58000000007</v>
      </c>
      <c r="K78" s="511">
        <f t="shared" si="18"/>
        <v>847666.58000000007</v>
      </c>
      <c r="L78" s="511">
        <f t="shared" si="19"/>
        <v>632587</v>
      </c>
      <c r="M78" s="518">
        <f t="shared" si="1"/>
        <v>847667</v>
      </c>
      <c r="N78" s="519">
        <f t="shared" si="0"/>
        <v>-0.41999999992549419</v>
      </c>
    </row>
    <row r="79" spans="1:14" x14ac:dyDescent="0.2">
      <c r="A79" s="469" t="s">
        <v>245</v>
      </c>
      <c r="B79" s="28" t="s">
        <v>246</v>
      </c>
      <c r="C79" s="470" t="s">
        <v>247</v>
      </c>
      <c r="D79" s="471" t="s">
        <v>90</v>
      </c>
      <c r="E79" s="513">
        <v>6</v>
      </c>
      <c r="F79" s="514">
        <v>109096</v>
      </c>
      <c r="G79" s="515">
        <f t="shared" si="15"/>
        <v>654576</v>
      </c>
      <c r="H79" s="516"/>
      <c r="I79" s="517">
        <f t="shared" si="16"/>
        <v>109096</v>
      </c>
      <c r="J79" s="511">
        <f t="shared" si="17"/>
        <v>146188.64000000001</v>
      </c>
      <c r="K79" s="511">
        <f t="shared" si="18"/>
        <v>877131.84000000008</v>
      </c>
      <c r="L79" s="511">
        <f t="shared" si="19"/>
        <v>654576</v>
      </c>
      <c r="M79" s="518">
        <f t="shared" si="1"/>
        <v>877132</v>
      </c>
      <c r="N79" s="519">
        <f t="shared" ref="N79:N99" si="20">K79-M79</f>
        <v>-0.15999999991618097</v>
      </c>
    </row>
    <row r="80" spans="1:14" x14ac:dyDescent="0.2">
      <c r="A80" s="469" t="s">
        <v>248</v>
      </c>
      <c r="B80" s="28" t="s">
        <v>249</v>
      </c>
      <c r="C80" s="470" t="s">
        <v>250</v>
      </c>
      <c r="D80" s="471" t="s">
        <v>90</v>
      </c>
      <c r="E80" s="513">
        <v>5</v>
      </c>
      <c r="F80" s="514">
        <v>112193</v>
      </c>
      <c r="G80" s="515">
        <f t="shared" si="15"/>
        <v>560965</v>
      </c>
      <c r="H80" s="516"/>
      <c r="I80" s="517">
        <f t="shared" si="16"/>
        <v>112193</v>
      </c>
      <c r="J80" s="511">
        <f t="shared" si="17"/>
        <v>150338.62</v>
      </c>
      <c r="K80" s="511">
        <f t="shared" si="18"/>
        <v>751693.1</v>
      </c>
      <c r="L80" s="511">
        <f t="shared" si="19"/>
        <v>560965</v>
      </c>
      <c r="M80" s="518">
        <f t="shared" ref="M80:M122" si="21">ROUND(L80*1.34,0)</f>
        <v>751693</v>
      </c>
      <c r="N80" s="519">
        <f t="shared" si="20"/>
        <v>9.9999999976716936E-2</v>
      </c>
    </row>
    <row r="81" spans="1:14" x14ac:dyDescent="0.2">
      <c r="A81" s="528" t="s">
        <v>251</v>
      </c>
      <c r="B81" s="28" t="s">
        <v>252</v>
      </c>
      <c r="C81" s="470" t="s">
        <v>215</v>
      </c>
      <c r="D81" s="471" t="s">
        <v>90</v>
      </c>
      <c r="E81" s="513">
        <v>1</v>
      </c>
      <c r="F81" s="514">
        <v>135498</v>
      </c>
      <c r="G81" s="515">
        <f t="shared" si="15"/>
        <v>135498</v>
      </c>
      <c r="H81" s="516"/>
      <c r="I81" s="517">
        <f t="shared" si="16"/>
        <v>135498</v>
      </c>
      <c r="J81" s="511">
        <f t="shared" si="17"/>
        <v>181567.32</v>
      </c>
      <c r="K81" s="511">
        <f t="shared" si="18"/>
        <v>181567.32</v>
      </c>
      <c r="L81" s="511">
        <f t="shared" si="19"/>
        <v>135498</v>
      </c>
      <c r="M81" s="518">
        <f t="shared" si="21"/>
        <v>181567</v>
      </c>
      <c r="N81" s="519">
        <f t="shared" si="20"/>
        <v>0.32000000000698492</v>
      </c>
    </row>
    <row r="82" spans="1:14" x14ac:dyDescent="0.2">
      <c r="A82" s="469" t="s">
        <v>253</v>
      </c>
      <c r="B82" s="28" t="s">
        <v>254</v>
      </c>
      <c r="C82" s="470" t="s">
        <v>255</v>
      </c>
      <c r="D82" s="471" t="s">
        <v>90</v>
      </c>
      <c r="E82" s="513">
        <v>2</v>
      </c>
      <c r="F82" s="514">
        <v>142003</v>
      </c>
      <c r="G82" s="515">
        <f t="shared" si="15"/>
        <v>284006</v>
      </c>
      <c r="H82" s="516"/>
      <c r="I82" s="517">
        <f t="shared" si="16"/>
        <v>142003</v>
      </c>
      <c r="J82" s="511">
        <f t="shared" si="17"/>
        <v>190284.02000000002</v>
      </c>
      <c r="K82" s="511">
        <f t="shared" si="18"/>
        <v>380568.04000000004</v>
      </c>
      <c r="L82" s="511">
        <f t="shared" si="19"/>
        <v>284006</v>
      </c>
      <c r="M82" s="518">
        <f t="shared" si="21"/>
        <v>380568</v>
      </c>
      <c r="N82" s="519">
        <f t="shared" si="20"/>
        <v>4.0000000037252903E-2</v>
      </c>
    </row>
    <row r="83" spans="1:14" x14ac:dyDescent="0.2">
      <c r="A83" s="469" t="s">
        <v>256</v>
      </c>
      <c r="B83" s="28" t="s">
        <v>257</v>
      </c>
      <c r="C83" s="470" t="s">
        <v>258</v>
      </c>
      <c r="D83" s="471" t="s">
        <v>90</v>
      </c>
      <c r="E83" s="513">
        <v>36</v>
      </c>
      <c r="F83" s="514">
        <v>58047</v>
      </c>
      <c r="G83" s="515">
        <f t="shared" si="15"/>
        <v>2089692</v>
      </c>
      <c r="H83" s="516"/>
      <c r="I83" s="517">
        <f t="shared" si="16"/>
        <v>58047</v>
      </c>
      <c r="J83" s="511">
        <f t="shared" si="17"/>
        <v>77782.98000000001</v>
      </c>
      <c r="K83" s="511">
        <f>+J83*E83</f>
        <v>2800187.2800000003</v>
      </c>
      <c r="L83" s="511">
        <f t="shared" si="19"/>
        <v>2089692</v>
      </c>
      <c r="M83" s="518">
        <f t="shared" si="21"/>
        <v>2800187</v>
      </c>
      <c r="N83" s="519">
        <f t="shared" si="20"/>
        <v>0.28000000026077032</v>
      </c>
    </row>
    <row r="84" spans="1:14" x14ac:dyDescent="0.2">
      <c r="A84" s="469" t="s">
        <v>259</v>
      </c>
      <c r="B84" s="28" t="s">
        <v>260</v>
      </c>
      <c r="C84" s="470" t="s">
        <v>261</v>
      </c>
      <c r="D84" s="471" t="s">
        <v>90</v>
      </c>
      <c r="E84" s="513">
        <v>7</v>
      </c>
      <c r="F84" s="514">
        <v>614372</v>
      </c>
      <c r="G84" s="515">
        <f t="shared" si="15"/>
        <v>4300604</v>
      </c>
      <c r="H84" s="516"/>
      <c r="I84" s="517">
        <f t="shared" si="16"/>
        <v>614372</v>
      </c>
      <c r="J84" s="511">
        <f t="shared" si="17"/>
        <v>823258.4800000001</v>
      </c>
      <c r="K84" s="511">
        <f t="shared" si="18"/>
        <v>5762809.3600000003</v>
      </c>
      <c r="L84" s="511">
        <f t="shared" si="19"/>
        <v>4300604</v>
      </c>
      <c r="M84" s="518">
        <f t="shared" si="21"/>
        <v>5762809</v>
      </c>
      <c r="N84" s="519">
        <f t="shared" si="20"/>
        <v>0.36000000033527613</v>
      </c>
    </row>
    <row r="85" spans="1:14" x14ac:dyDescent="0.2">
      <c r="A85" s="469" t="s">
        <v>262</v>
      </c>
      <c r="B85" s="28" t="s">
        <v>263</v>
      </c>
      <c r="C85" s="470" t="s">
        <v>264</v>
      </c>
      <c r="D85" s="471" t="s">
        <v>90</v>
      </c>
      <c r="E85" s="513">
        <v>34</v>
      </c>
      <c r="F85" s="514">
        <v>72187</v>
      </c>
      <c r="G85" s="515">
        <f t="shared" si="15"/>
        <v>2454358</v>
      </c>
      <c r="H85" s="516"/>
      <c r="I85" s="517">
        <f t="shared" si="16"/>
        <v>72187</v>
      </c>
      <c r="J85" s="511">
        <f t="shared" si="17"/>
        <v>96730.58</v>
      </c>
      <c r="K85" s="511">
        <f t="shared" si="18"/>
        <v>3288839.72</v>
      </c>
      <c r="L85" s="511">
        <f t="shared" si="19"/>
        <v>2454358</v>
      </c>
      <c r="M85" s="518">
        <f t="shared" si="21"/>
        <v>3288840</v>
      </c>
      <c r="N85" s="519">
        <f t="shared" si="20"/>
        <v>-0.27999999979510903</v>
      </c>
    </row>
    <row r="86" spans="1:14" x14ac:dyDescent="0.2">
      <c r="A86" s="469" t="s">
        <v>265</v>
      </c>
      <c r="B86" s="28" t="s">
        <v>266</v>
      </c>
      <c r="C86" s="470" t="s">
        <v>267</v>
      </c>
      <c r="D86" s="471" t="s">
        <v>90</v>
      </c>
      <c r="E86" s="513">
        <v>12</v>
      </c>
      <c r="F86" s="514">
        <v>410673</v>
      </c>
      <c r="G86" s="515">
        <f t="shared" si="15"/>
        <v>4928076</v>
      </c>
      <c r="H86" s="516"/>
      <c r="I86" s="517">
        <f t="shared" si="16"/>
        <v>410673</v>
      </c>
      <c r="J86" s="511">
        <f t="shared" si="17"/>
        <v>550301.82000000007</v>
      </c>
      <c r="K86" s="511">
        <f t="shared" si="18"/>
        <v>6603621.8400000008</v>
      </c>
      <c r="L86" s="511">
        <f t="shared" si="19"/>
        <v>4928076</v>
      </c>
      <c r="M86" s="518">
        <f t="shared" si="21"/>
        <v>6603622</v>
      </c>
      <c r="N86" s="519">
        <f t="shared" si="20"/>
        <v>-0.15999999921768904</v>
      </c>
    </row>
    <row r="87" spans="1:14" x14ac:dyDescent="0.2">
      <c r="A87" s="469" t="s">
        <v>268</v>
      </c>
      <c r="B87" s="28" t="s">
        <v>269</v>
      </c>
      <c r="C87" s="470" t="s">
        <v>270</v>
      </c>
      <c r="D87" s="471" t="s">
        <v>90</v>
      </c>
      <c r="E87" s="513">
        <v>3</v>
      </c>
      <c r="F87" s="514">
        <v>16188</v>
      </c>
      <c r="G87" s="515">
        <f t="shared" si="15"/>
        <v>48564</v>
      </c>
      <c r="H87" s="516"/>
      <c r="I87" s="517">
        <f t="shared" si="16"/>
        <v>16188</v>
      </c>
      <c r="J87" s="511">
        <f t="shared" si="17"/>
        <v>21691.920000000002</v>
      </c>
      <c r="K87" s="511">
        <f t="shared" si="18"/>
        <v>65075.760000000009</v>
      </c>
      <c r="L87" s="511">
        <f t="shared" si="19"/>
        <v>48564</v>
      </c>
      <c r="M87" s="518">
        <f t="shared" si="21"/>
        <v>65076</v>
      </c>
      <c r="N87" s="519">
        <f t="shared" si="20"/>
        <v>-0.23999999999068677</v>
      </c>
    </row>
    <row r="88" spans="1:14" x14ac:dyDescent="0.2">
      <c r="A88" s="469" t="s">
        <v>271</v>
      </c>
      <c r="B88" s="28" t="s">
        <v>272</v>
      </c>
      <c r="C88" s="470" t="s">
        <v>273</v>
      </c>
      <c r="D88" s="471" t="s">
        <v>90</v>
      </c>
      <c r="E88" s="513">
        <v>5</v>
      </c>
      <c r="F88" s="514">
        <v>526560</v>
      </c>
      <c r="G88" s="515">
        <f t="shared" si="15"/>
        <v>2632800</v>
      </c>
      <c r="H88" s="516"/>
      <c r="I88" s="517">
        <f t="shared" si="16"/>
        <v>526560</v>
      </c>
      <c r="J88" s="511">
        <f t="shared" si="17"/>
        <v>705590.4</v>
      </c>
      <c r="K88" s="511">
        <f t="shared" si="18"/>
        <v>3527952</v>
      </c>
      <c r="L88" s="511">
        <f t="shared" si="19"/>
        <v>2632800</v>
      </c>
      <c r="M88" s="518">
        <f t="shared" si="21"/>
        <v>3527952</v>
      </c>
      <c r="N88" s="519">
        <f t="shared" si="20"/>
        <v>0</v>
      </c>
    </row>
    <row r="89" spans="1:14" x14ac:dyDescent="0.2">
      <c r="A89" s="469" t="s">
        <v>274</v>
      </c>
      <c r="B89" s="28" t="s">
        <v>275</v>
      </c>
      <c r="C89" s="470" t="s">
        <v>276</v>
      </c>
      <c r="D89" s="471" t="s">
        <v>90</v>
      </c>
      <c r="E89" s="513">
        <v>3</v>
      </c>
      <c r="F89" s="514">
        <v>993787</v>
      </c>
      <c r="G89" s="515">
        <f t="shared" si="15"/>
        <v>2981361</v>
      </c>
      <c r="H89" s="516"/>
      <c r="I89" s="517">
        <f t="shared" si="16"/>
        <v>993787</v>
      </c>
      <c r="J89" s="511">
        <f t="shared" si="17"/>
        <v>1331674.58</v>
      </c>
      <c r="K89" s="511">
        <f t="shared" si="18"/>
        <v>3995023.74</v>
      </c>
      <c r="L89" s="511">
        <f t="shared" si="19"/>
        <v>2981361</v>
      </c>
      <c r="M89" s="518">
        <f t="shared" si="21"/>
        <v>3995024</v>
      </c>
      <c r="N89" s="519">
        <f t="shared" si="20"/>
        <v>-0.25999999977648258</v>
      </c>
    </row>
    <row r="90" spans="1:14" x14ac:dyDescent="0.2">
      <c r="A90" s="469" t="s">
        <v>277</v>
      </c>
      <c r="B90" s="28" t="s">
        <v>278</v>
      </c>
      <c r="C90" s="470" t="s">
        <v>279</v>
      </c>
      <c r="D90" s="471" t="s">
        <v>90</v>
      </c>
      <c r="E90" s="513">
        <v>2</v>
      </c>
      <c r="F90" s="514">
        <v>138306</v>
      </c>
      <c r="G90" s="515">
        <f t="shared" si="15"/>
        <v>276612</v>
      </c>
      <c r="H90" s="516"/>
      <c r="I90" s="517">
        <f t="shared" si="16"/>
        <v>138306</v>
      </c>
      <c r="J90" s="511">
        <f t="shared" si="17"/>
        <v>185330.04</v>
      </c>
      <c r="K90" s="511">
        <f t="shared" si="18"/>
        <v>370660.08</v>
      </c>
      <c r="L90" s="511">
        <f t="shared" si="19"/>
        <v>276612</v>
      </c>
      <c r="M90" s="518">
        <f t="shared" si="21"/>
        <v>370660</v>
      </c>
      <c r="N90" s="519">
        <f t="shared" si="20"/>
        <v>8.0000000016298145E-2</v>
      </c>
    </row>
    <row r="91" spans="1:14" x14ac:dyDescent="0.2">
      <c r="A91" s="469" t="s">
        <v>280</v>
      </c>
      <c r="B91" s="28" t="s">
        <v>281</v>
      </c>
      <c r="C91" s="470" t="s">
        <v>282</v>
      </c>
      <c r="D91" s="471" t="s">
        <v>90</v>
      </c>
      <c r="E91" s="513">
        <v>22</v>
      </c>
      <c r="F91" s="514">
        <v>652013</v>
      </c>
      <c r="G91" s="515">
        <f t="shared" si="15"/>
        <v>14344286</v>
      </c>
      <c r="H91" s="516"/>
      <c r="I91" s="517">
        <f t="shared" si="16"/>
        <v>652013</v>
      </c>
      <c r="J91" s="511">
        <f t="shared" si="17"/>
        <v>873697.42</v>
      </c>
      <c r="K91" s="511">
        <f t="shared" si="18"/>
        <v>19221343.240000002</v>
      </c>
      <c r="L91" s="511">
        <f t="shared" si="19"/>
        <v>14344286</v>
      </c>
      <c r="M91" s="518">
        <f t="shared" si="21"/>
        <v>19221343</v>
      </c>
      <c r="N91" s="519">
        <f t="shared" si="20"/>
        <v>0.24000000208616257</v>
      </c>
    </row>
    <row r="92" spans="1:14" x14ac:dyDescent="0.2">
      <c r="A92" s="469" t="s">
        <v>283</v>
      </c>
      <c r="B92" s="28" t="s">
        <v>284</v>
      </c>
      <c r="C92" s="470" t="s">
        <v>285</v>
      </c>
      <c r="D92" s="471" t="s">
        <v>90</v>
      </c>
      <c r="E92" s="513">
        <v>13</v>
      </c>
      <c r="F92" s="514">
        <v>203933</v>
      </c>
      <c r="G92" s="515">
        <f t="shared" si="15"/>
        <v>2651129</v>
      </c>
      <c r="H92" s="516"/>
      <c r="I92" s="517">
        <f t="shared" si="16"/>
        <v>203933</v>
      </c>
      <c r="J92" s="511">
        <f t="shared" si="17"/>
        <v>273270.22000000003</v>
      </c>
      <c r="K92" s="511">
        <f t="shared" si="18"/>
        <v>3552512.8600000003</v>
      </c>
      <c r="L92" s="511">
        <f t="shared" si="19"/>
        <v>2651129</v>
      </c>
      <c r="M92" s="518">
        <f t="shared" si="21"/>
        <v>3552513</v>
      </c>
      <c r="N92" s="519">
        <f t="shared" si="20"/>
        <v>-0.13999999966472387</v>
      </c>
    </row>
    <row r="93" spans="1:14" x14ac:dyDescent="0.2">
      <c r="A93" s="520"/>
      <c r="B93" s="147"/>
      <c r="C93" s="470"/>
      <c r="D93" s="471"/>
      <c r="E93" s="521"/>
      <c r="F93" s="514"/>
      <c r="G93" s="474"/>
      <c r="H93" s="480"/>
      <c r="I93" s="517"/>
      <c r="J93" s="511"/>
      <c r="K93" s="510"/>
      <c r="L93" s="510"/>
      <c r="M93" s="518">
        <f t="shared" si="21"/>
        <v>0</v>
      </c>
      <c r="N93" s="519">
        <f t="shared" si="20"/>
        <v>0</v>
      </c>
    </row>
    <row r="94" spans="1:14" ht="15.75" thickBot="1" x14ac:dyDescent="0.25">
      <c r="A94" s="522" t="s">
        <v>105</v>
      </c>
      <c r="B94" s="153"/>
      <c r="C94" s="523"/>
      <c r="D94" s="524"/>
      <c r="E94" s="525"/>
      <c r="F94" s="157" t="s">
        <v>368</v>
      </c>
      <c r="G94" s="169">
        <f>SUM(G52:G93)</f>
        <v>145066804</v>
      </c>
      <c r="H94" s="431"/>
      <c r="I94" s="517"/>
      <c r="J94" s="511"/>
      <c r="K94" s="510"/>
      <c r="L94" s="510"/>
      <c r="M94" s="518">
        <f t="shared" si="21"/>
        <v>0</v>
      </c>
      <c r="N94" s="519">
        <f t="shared" si="20"/>
        <v>0</v>
      </c>
    </row>
    <row r="95" spans="1:14" ht="23.1" customHeight="1" thickBot="1" x14ac:dyDescent="0.25">
      <c r="A95" s="492"/>
      <c r="B95" s="504"/>
      <c r="C95" s="505"/>
      <c r="D95" s="506"/>
      <c r="E95" s="526"/>
      <c r="F95" s="508"/>
      <c r="G95" s="509"/>
      <c r="H95" s="509"/>
      <c r="I95" s="517"/>
      <c r="J95" s="511"/>
      <c r="K95" s="510"/>
      <c r="L95" s="510"/>
      <c r="M95" s="518">
        <f t="shared" si="21"/>
        <v>0</v>
      </c>
      <c r="N95" s="519">
        <f t="shared" si="20"/>
        <v>0</v>
      </c>
    </row>
    <row r="96" spans="1:14" ht="15" x14ac:dyDescent="0.2">
      <c r="A96" s="512" t="s">
        <v>98</v>
      </c>
      <c r="B96" s="129">
        <v>6</v>
      </c>
      <c r="C96" s="130" t="s">
        <v>286</v>
      </c>
      <c r="D96" s="131"/>
      <c r="E96" s="132"/>
      <c r="F96" s="133"/>
      <c r="G96" s="134">
        <f>SUM(G97:G101)</f>
        <v>38427590</v>
      </c>
      <c r="H96" s="428"/>
      <c r="I96" s="517"/>
      <c r="J96" s="511"/>
      <c r="K96" s="510"/>
      <c r="L96" s="510"/>
      <c r="M96" s="518">
        <f t="shared" si="21"/>
        <v>0</v>
      </c>
      <c r="N96" s="519">
        <f t="shared" si="20"/>
        <v>0</v>
      </c>
    </row>
    <row r="97" spans="1:14" x14ac:dyDescent="0.2">
      <c r="A97" s="469" t="s">
        <v>287</v>
      </c>
      <c r="B97" s="28" t="s">
        <v>288</v>
      </c>
      <c r="C97" s="470" t="s">
        <v>289</v>
      </c>
      <c r="D97" s="471" t="s">
        <v>90</v>
      </c>
      <c r="E97" s="513">
        <v>250</v>
      </c>
      <c r="F97" s="514">
        <v>30004</v>
      </c>
      <c r="G97" s="515">
        <f>F97*E97</f>
        <v>7501000</v>
      </c>
      <c r="H97" s="516"/>
      <c r="I97" s="517">
        <f>+F97</f>
        <v>30004</v>
      </c>
      <c r="J97" s="511">
        <f t="shared" ref="J97:J101" si="22">I97*1.34</f>
        <v>40205.360000000001</v>
      </c>
      <c r="K97" s="511">
        <f t="shared" ref="K97:K100" si="23">+J97*E97</f>
        <v>10051340</v>
      </c>
      <c r="L97" s="511">
        <f t="shared" ref="L97:L100" si="24">+I97*E97</f>
        <v>7501000</v>
      </c>
      <c r="M97" s="518">
        <f t="shared" si="21"/>
        <v>10051340</v>
      </c>
      <c r="N97" s="519">
        <f t="shared" si="20"/>
        <v>0</v>
      </c>
    </row>
    <row r="98" spans="1:14" x14ac:dyDescent="0.2">
      <c r="A98" s="469" t="s">
        <v>290</v>
      </c>
      <c r="B98" s="28" t="s">
        <v>291</v>
      </c>
      <c r="C98" s="470" t="s">
        <v>292</v>
      </c>
      <c r="D98" s="471" t="s">
        <v>90</v>
      </c>
      <c r="E98" s="513">
        <v>450</v>
      </c>
      <c r="F98" s="514">
        <v>29348</v>
      </c>
      <c r="G98" s="515">
        <f>F98*E98</f>
        <v>13206600</v>
      </c>
      <c r="H98" s="516"/>
      <c r="I98" s="517">
        <f>+F98</f>
        <v>29348</v>
      </c>
      <c r="J98" s="511">
        <f t="shared" si="22"/>
        <v>39326.32</v>
      </c>
      <c r="K98" s="511">
        <f t="shared" si="23"/>
        <v>17696844</v>
      </c>
      <c r="L98" s="511">
        <f t="shared" si="24"/>
        <v>13206600</v>
      </c>
      <c r="M98" s="518">
        <f t="shared" si="21"/>
        <v>17696844</v>
      </c>
      <c r="N98" s="519">
        <f t="shared" si="20"/>
        <v>0</v>
      </c>
    </row>
    <row r="99" spans="1:14" x14ac:dyDescent="0.2">
      <c r="A99" s="469" t="s">
        <v>293</v>
      </c>
      <c r="B99" s="28" t="s">
        <v>294</v>
      </c>
      <c r="C99" s="470" t="s">
        <v>295</v>
      </c>
      <c r="D99" s="471" t="s">
        <v>90</v>
      </c>
      <c r="E99" s="513">
        <v>10</v>
      </c>
      <c r="F99" s="514">
        <v>43646</v>
      </c>
      <c r="G99" s="515">
        <f>F99*E99</f>
        <v>436460</v>
      </c>
      <c r="H99" s="516"/>
      <c r="I99" s="517">
        <f>+F99</f>
        <v>43646</v>
      </c>
      <c r="J99" s="511">
        <f t="shared" si="22"/>
        <v>58485.640000000007</v>
      </c>
      <c r="K99" s="511">
        <f t="shared" si="23"/>
        <v>584856.4</v>
      </c>
      <c r="L99" s="511">
        <f t="shared" si="24"/>
        <v>436460</v>
      </c>
      <c r="M99" s="518">
        <f t="shared" si="21"/>
        <v>584856</v>
      </c>
      <c r="N99" s="519">
        <f t="shared" si="20"/>
        <v>0.40000000002328306</v>
      </c>
    </row>
    <row r="100" spans="1:14" x14ac:dyDescent="0.2">
      <c r="A100" s="469" t="s">
        <v>296</v>
      </c>
      <c r="B100" s="28" t="s">
        <v>297</v>
      </c>
      <c r="C100" s="470" t="s">
        <v>298</v>
      </c>
      <c r="D100" s="471" t="s">
        <v>90</v>
      </c>
      <c r="E100" s="513">
        <v>710</v>
      </c>
      <c r="F100" s="514">
        <v>24343</v>
      </c>
      <c r="G100" s="515">
        <f>F100*E100</f>
        <v>17283530</v>
      </c>
      <c r="H100" s="516"/>
      <c r="I100" s="517">
        <f>+F100</f>
        <v>24343</v>
      </c>
      <c r="J100" s="511">
        <f t="shared" si="22"/>
        <v>32619.620000000003</v>
      </c>
      <c r="K100" s="511">
        <f t="shared" si="23"/>
        <v>23159930.200000003</v>
      </c>
      <c r="L100" s="511">
        <f t="shared" si="24"/>
        <v>17283530</v>
      </c>
      <c r="M100" s="518">
        <f t="shared" si="21"/>
        <v>23159930</v>
      </c>
      <c r="N100" s="519">
        <f>K100-M100</f>
        <v>0.20000000298023224</v>
      </c>
    </row>
    <row r="101" spans="1:14" x14ac:dyDescent="0.2">
      <c r="A101" s="520"/>
      <c r="B101" s="147"/>
      <c r="C101" s="470"/>
      <c r="D101" s="471"/>
      <c r="E101" s="521"/>
      <c r="F101" s="514"/>
      <c r="G101" s="474"/>
      <c r="H101" s="480"/>
      <c r="I101" s="517"/>
      <c r="J101" s="511">
        <f t="shared" si="22"/>
        <v>0</v>
      </c>
      <c r="K101" s="510"/>
      <c r="L101" s="510"/>
      <c r="M101" s="518">
        <f t="shared" si="21"/>
        <v>0</v>
      </c>
      <c r="N101" s="519">
        <f t="shared" ref="N101:N132" si="25">K101-M101</f>
        <v>0</v>
      </c>
    </row>
    <row r="102" spans="1:14" ht="15.75" thickBot="1" x14ac:dyDescent="0.25">
      <c r="A102" s="522" t="s">
        <v>105</v>
      </c>
      <c r="B102" s="153"/>
      <c r="C102" s="523"/>
      <c r="D102" s="524"/>
      <c r="E102" s="525"/>
      <c r="F102" s="157" t="s">
        <v>369</v>
      </c>
      <c r="G102" s="169">
        <f>SUM(G97:G101)</f>
        <v>38427590</v>
      </c>
      <c r="H102" s="431"/>
      <c r="I102" s="517"/>
      <c r="J102" s="511"/>
      <c r="K102" s="510"/>
      <c r="L102" s="510"/>
      <c r="M102" s="518">
        <f t="shared" si="21"/>
        <v>0</v>
      </c>
      <c r="N102" s="519">
        <f t="shared" si="25"/>
        <v>0</v>
      </c>
    </row>
    <row r="103" spans="1:14" ht="23.1" customHeight="1" thickBot="1" x14ac:dyDescent="0.25">
      <c r="A103" s="492"/>
      <c r="B103" s="504"/>
      <c r="C103" s="505"/>
      <c r="D103" s="506"/>
      <c r="E103" s="526"/>
      <c r="F103" s="508"/>
      <c r="G103" s="509"/>
      <c r="H103" s="509"/>
      <c r="I103" s="517"/>
      <c r="J103" s="511"/>
      <c r="K103" s="510"/>
      <c r="L103" s="510"/>
      <c r="M103" s="518">
        <f t="shared" si="21"/>
        <v>0</v>
      </c>
      <c r="N103" s="519">
        <f t="shared" si="25"/>
        <v>0</v>
      </c>
    </row>
    <row r="104" spans="1:14" ht="15" x14ac:dyDescent="0.2">
      <c r="A104" s="512" t="s">
        <v>98</v>
      </c>
      <c r="B104" s="129">
        <v>7</v>
      </c>
      <c r="C104" s="130" t="s">
        <v>299</v>
      </c>
      <c r="D104" s="131"/>
      <c r="E104" s="132"/>
      <c r="F104" s="133"/>
      <c r="G104" s="134">
        <f>SUM(G105:G112)</f>
        <v>677820893.56706405</v>
      </c>
      <c r="H104" s="428"/>
      <c r="I104" s="517"/>
      <c r="J104" s="511"/>
      <c r="K104" s="510"/>
      <c r="L104" s="510"/>
      <c r="M104" s="518">
        <f t="shared" si="21"/>
        <v>0</v>
      </c>
      <c r="N104" s="519">
        <f t="shared" si="25"/>
        <v>0</v>
      </c>
    </row>
    <row r="105" spans="1:14" x14ac:dyDescent="0.2">
      <c r="A105" s="538" t="s">
        <v>300</v>
      </c>
      <c r="B105" s="188"/>
      <c r="C105" s="539"/>
      <c r="D105" s="540"/>
      <c r="E105" s="541"/>
      <c r="F105" s="542"/>
      <c r="G105" s="543"/>
      <c r="H105" s="480"/>
      <c r="I105" s="517"/>
      <c r="J105" s="511"/>
      <c r="K105" s="510"/>
      <c r="L105" s="510"/>
      <c r="M105" s="518">
        <f t="shared" si="21"/>
        <v>0</v>
      </c>
      <c r="N105" s="519">
        <f t="shared" si="25"/>
        <v>0</v>
      </c>
    </row>
    <row r="106" spans="1:14" x14ac:dyDescent="0.2">
      <c r="A106" s="469" t="s">
        <v>301</v>
      </c>
      <c r="B106" s="28" t="s">
        <v>302</v>
      </c>
      <c r="C106" s="470" t="s">
        <v>303</v>
      </c>
      <c r="D106" s="471" t="s">
        <v>113</v>
      </c>
      <c r="E106" s="513">
        <v>4792</v>
      </c>
      <c r="F106" s="514">
        <v>129297</v>
      </c>
      <c r="G106" s="515">
        <f t="shared" ref="G106:G112" si="26">F106*E106</f>
        <v>619591224</v>
      </c>
      <c r="H106" s="516"/>
      <c r="I106" s="517">
        <f t="shared" ref="I106:I112" si="27">+F106</f>
        <v>129297</v>
      </c>
      <c r="J106" s="511">
        <f t="shared" ref="J106:J112" si="28">I106*1.34</f>
        <v>173257.98</v>
      </c>
      <c r="K106" s="511">
        <f t="shared" ref="K106:K112" si="29">+J106*E106</f>
        <v>830252240.16000009</v>
      </c>
      <c r="L106" s="511">
        <f t="shared" ref="L106:L112" si="30">+I106*E106</f>
        <v>619591224</v>
      </c>
      <c r="M106" s="518">
        <f t="shared" si="21"/>
        <v>830252240</v>
      </c>
      <c r="N106" s="519">
        <f t="shared" si="25"/>
        <v>0.16000008583068848</v>
      </c>
    </row>
    <row r="107" spans="1:14" x14ac:dyDescent="0.2">
      <c r="A107" s="469" t="s">
        <v>304</v>
      </c>
      <c r="B107" s="28" t="s">
        <v>305</v>
      </c>
      <c r="C107" s="470" t="s">
        <v>306</v>
      </c>
      <c r="D107" s="471" t="s">
        <v>113</v>
      </c>
      <c r="E107" s="513">
        <v>923</v>
      </c>
      <c r="F107" s="514">
        <v>51386</v>
      </c>
      <c r="G107" s="515">
        <f t="shared" si="26"/>
        <v>47429278</v>
      </c>
      <c r="H107" s="516"/>
      <c r="I107" s="517">
        <f t="shared" si="27"/>
        <v>51386</v>
      </c>
      <c r="J107" s="511">
        <f t="shared" si="28"/>
        <v>68857.240000000005</v>
      </c>
      <c r="K107" s="511">
        <f t="shared" si="29"/>
        <v>63555232.520000003</v>
      </c>
      <c r="L107" s="511">
        <f t="shared" si="30"/>
        <v>47429278</v>
      </c>
      <c r="M107" s="518">
        <f t="shared" si="21"/>
        <v>63555233</v>
      </c>
      <c r="N107" s="519">
        <f t="shared" si="25"/>
        <v>-0.47999999672174454</v>
      </c>
    </row>
    <row r="108" spans="1:14" x14ac:dyDescent="0.2">
      <c r="A108" s="469" t="s">
        <v>307</v>
      </c>
      <c r="B108" s="28" t="s">
        <v>308</v>
      </c>
      <c r="C108" s="470" t="s">
        <v>309</v>
      </c>
      <c r="D108" s="471" t="s">
        <v>125</v>
      </c>
      <c r="E108" s="513">
        <v>13</v>
      </c>
      <c r="F108" s="514">
        <v>378957</v>
      </c>
      <c r="G108" s="515">
        <f t="shared" si="26"/>
        <v>4926441</v>
      </c>
      <c r="H108" s="516"/>
      <c r="I108" s="517">
        <f t="shared" si="27"/>
        <v>378957</v>
      </c>
      <c r="J108" s="511">
        <f t="shared" si="28"/>
        <v>507802.38</v>
      </c>
      <c r="K108" s="511">
        <f t="shared" si="29"/>
        <v>6601430.9400000004</v>
      </c>
      <c r="L108" s="511">
        <f t="shared" si="30"/>
        <v>4926441</v>
      </c>
      <c r="M108" s="518">
        <f t="shared" si="21"/>
        <v>6601431</v>
      </c>
      <c r="N108" s="519">
        <f t="shared" si="25"/>
        <v>-5.9999999590218067E-2</v>
      </c>
    </row>
    <row r="109" spans="1:14" x14ac:dyDescent="0.2">
      <c r="A109" s="527"/>
      <c r="B109" s="28" t="s">
        <v>310</v>
      </c>
      <c r="C109" s="470" t="str">
        <f>+'[3]APUS '!C2369</f>
        <v xml:space="preserve">PILOTE  EN CONCRETO 3100 PSI </v>
      </c>
      <c r="D109" s="471" t="s">
        <v>125</v>
      </c>
      <c r="E109" s="513">
        <v>3.0159360000000008</v>
      </c>
      <c r="F109" s="514">
        <v>596555</v>
      </c>
      <c r="G109" s="515">
        <f t="shared" si="26"/>
        <v>1799171.7004800006</v>
      </c>
      <c r="H109" s="516"/>
      <c r="I109" s="517">
        <f t="shared" si="27"/>
        <v>596555</v>
      </c>
      <c r="J109" s="511">
        <f t="shared" si="28"/>
        <v>799383.70000000007</v>
      </c>
      <c r="K109" s="511">
        <f t="shared" si="29"/>
        <v>2410890.0786432009</v>
      </c>
      <c r="L109" s="511">
        <f t="shared" si="30"/>
        <v>1799171.7004800006</v>
      </c>
      <c r="M109" s="518">
        <f t="shared" si="21"/>
        <v>2410890</v>
      </c>
      <c r="N109" s="519">
        <f t="shared" si="25"/>
        <v>7.8643200919032097E-2</v>
      </c>
    </row>
    <row r="110" spans="1:14" x14ac:dyDescent="0.2">
      <c r="A110" s="527"/>
      <c r="B110" s="28" t="s">
        <v>311</v>
      </c>
      <c r="C110" s="470" t="str">
        <f>+'[3]APUS '!C2396</f>
        <v>PEDESTAL  EN CONCRETO 3100 PSI INC FOTMALETA</v>
      </c>
      <c r="D110" s="471" t="s">
        <v>125</v>
      </c>
      <c r="E110" s="513">
        <v>1.4629999999999999</v>
      </c>
      <c r="F110" s="514">
        <v>688017</v>
      </c>
      <c r="G110" s="515">
        <f t="shared" si="26"/>
        <v>1006568.8709999999</v>
      </c>
      <c r="H110" s="516"/>
      <c r="I110" s="517">
        <f t="shared" si="27"/>
        <v>688017</v>
      </c>
      <c r="J110" s="511">
        <f t="shared" si="28"/>
        <v>921942.78</v>
      </c>
      <c r="K110" s="511">
        <f t="shared" si="29"/>
        <v>1348802.2871399999</v>
      </c>
      <c r="L110" s="511">
        <f t="shared" si="30"/>
        <v>1006568.8709999999</v>
      </c>
      <c r="M110" s="518">
        <f t="shared" si="21"/>
        <v>1348802</v>
      </c>
      <c r="N110" s="519">
        <f t="shared" si="25"/>
        <v>0.28713999991305172</v>
      </c>
    </row>
    <row r="111" spans="1:14" x14ac:dyDescent="0.2">
      <c r="A111" s="520"/>
      <c r="B111" s="147">
        <v>7.6</v>
      </c>
      <c r="C111" s="470" t="s">
        <v>312</v>
      </c>
      <c r="D111" s="471" t="s">
        <v>313</v>
      </c>
      <c r="E111" s="513">
        <v>24</v>
      </c>
      <c r="F111" s="514">
        <v>22604</v>
      </c>
      <c r="G111" s="515">
        <f t="shared" si="26"/>
        <v>542496</v>
      </c>
      <c r="H111" s="516"/>
      <c r="I111" s="517">
        <f t="shared" si="27"/>
        <v>22604</v>
      </c>
      <c r="J111" s="511">
        <f t="shared" si="28"/>
        <v>30289.360000000001</v>
      </c>
      <c r="K111" s="511">
        <f t="shared" si="29"/>
        <v>726944.64</v>
      </c>
      <c r="L111" s="511">
        <f t="shared" si="30"/>
        <v>542496</v>
      </c>
      <c r="M111" s="518">
        <f t="shared" si="21"/>
        <v>726945</v>
      </c>
      <c r="N111" s="519">
        <f t="shared" si="25"/>
        <v>-0.35999999998603016</v>
      </c>
    </row>
    <row r="112" spans="1:14" x14ac:dyDescent="0.2">
      <c r="A112" s="544"/>
      <c r="B112" s="147">
        <v>7.7</v>
      </c>
      <c r="C112" s="470" t="s">
        <v>314</v>
      </c>
      <c r="D112" s="471" t="s">
        <v>315</v>
      </c>
      <c r="E112" s="521">
        <v>512.003648</v>
      </c>
      <c r="F112" s="514">
        <v>4933</v>
      </c>
      <c r="G112" s="515">
        <f t="shared" si="26"/>
        <v>2525713.9955839999</v>
      </c>
      <c r="H112" s="516"/>
      <c r="I112" s="517">
        <f t="shared" si="27"/>
        <v>4933</v>
      </c>
      <c r="J112" s="511">
        <f t="shared" si="28"/>
        <v>6610.22</v>
      </c>
      <c r="K112" s="511">
        <f t="shared" si="29"/>
        <v>3384456.7540825601</v>
      </c>
      <c r="L112" s="511">
        <f t="shared" si="30"/>
        <v>2525713.9955839999</v>
      </c>
      <c r="M112" s="518">
        <f t="shared" si="21"/>
        <v>3384457</v>
      </c>
      <c r="N112" s="519">
        <f t="shared" si="25"/>
        <v>-0.24591743992641568</v>
      </c>
    </row>
    <row r="113" spans="1:14" ht="15.75" thickBot="1" x14ac:dyDescent="0.25">
      <c r="A113" s="522" t="s">
        <v>105</v>
      </c>
      <c r="B113" s="153"/>
      <c r="C113" s="523"/>
      <c r="D113" s="524"/>
      <c r="E113" s="525"/>
      <c r="F113" s="157" t="s">
        <v>370</v>
      </c>
      <c r="G113" s="169">
        <f>SUM(G105:G112)</f>
        <v>677820893.56706405</v>
      </c>
      <c r="H113" s="431"/>
      <c r="I113" s="517"/>
      <c r="J113" s="511"/>
      <c r="K113" s="510"/>
      <c r="L113" s="510"/>
      <c r="M113" s="518">
        <f t="shared" si="21"/>
        <v>0</v>
      </c>
      <c r="N113" s="519">
        <f t="shared" si="25"/>
        <v>0</v>
      </c>
    </row>
    <row r="114" spans="1:14" ht="23.1" customHeight="1" thickBot="1" x14ac:dyDescent="0.25">
      <c r="A114" s="492"/>
      <c r="B114" s="504"/>
      <c r="C114" s="505"/>
      <c r="D114" s="506"/>
      <c r="E114" s="526"/>
      <c r="F114" s="508"/>
      <c r="G114" s="509"/>
      <c r="H114" s="509"/>
      <c r="I114" s="517"/>
      <c r="J114" s="511"/>
      <c r="K114" s="510"/>
      <c r="L114" s="510"/>
      <c r="M114" s="518">
        <f t="shared" si="21"/>
        <v>0</v>
      </c>
      <c r="N114" s="519">
        <f t="shared" si="25"/>
        <v>0</v>
      </c>
    </row>
    <row r="115" spans="1:14" ht="15" x14ac:dyDescent="0.2">
      <c r="A115" s="512" t="s">
        <v>98</v>
      </c>
      <c r="B115" s="129">
        <v>8</v>
      </c>
      <c r="C115" s="130" t="s">
        <v>316</v>
      </c>
      <c r="D115" s="131"/>
      <c r="E115" s="132"/>
      <c r="F115" s="133"/>
      <c r="G115" s="134">
        <f>SUM(G116:G116)</f>
        <v>19226907.264288779</v>
      </c>
      <c r="H115" s="428"/>
      <c r="I115" s="517"/>
      <c r="J115" s="511"/>
      <c r="K115" s="510"/>
      <c r="L115" s="510"/>
      <c r="M115" s="518">
        <f t="shared" si="21"/>
        <v>0</v>
      </c>
      <c r="N115" s="519">
        <f t="shared" si="25"/>
        <v>0</v>
      </c>
    </row>
    <row r="116" spans="1:14" ht="25.5" x14ac:dyDescent="0.2">
      <c r="A116" s="469" t="s">
        <v>317</v>
      </c>
      <c r="B116" s="28" t="s">
        <v>318</v>
      </c>
      <c r="C116" s="470" t="s">
        <v>319</v>
      </c>
      <c r="D116" s="471" t="s">
        <v>320</v>
      </c>
      <c r="E116" s="513">
        <v>883.54888398000003</v>
      </c>
      <c r="F116" s="514">
        <v>21761</v>
      </c>
      <c r="G116" s="515">
        <f>F116*E116</f>
        <v>19226907.264288779</v>
      </c>
      <c r="H116" s="516"/>
      <c r="I116" s="517">
        <f>+F116</f>
        <v>21761</v>
      </c>
      <c r="J116" s="511">
        <f>I116*1.34</f>
        <v>29159.74</v>
      </c>
      <c r="K116" s="511">
        <f>+J116*E116</f>
        <v>25764055.734146968</v>
      </c>
      <c r="L116" s="511">
        <f>+I116*E116</f>
        <v>19226907.264288779</v>
      </c>
      <c r="M116" s="518">
        <f t="shared" si="21"/>
        <v>25764056</v>
      </c>
      <c r="N116" s="519">
        <f t="shared" si="25"/>
        <v>-0.26585303246974945</v>
      </c>
    </row>
    <row r="117" spans="1:14" ht="15.75" thickBot="1" x14ac:dyDescent="0.25">
      <c r="A117" s="522" t="s">
        <v>105</v>
      </c>
      <c r="B117" s="153"/>
      <c r="C117" s="523"/>
      <c r="D117" s="524"/>
      <c r="E117" s="525"/>
      <c r="F117" s="157" t="s">
        <v>371</v>
      </c>
      <c r="G117" s="169">
        <f>SUM(G116:G116)</f>
        <v>19226907.264288779</v>
      </c>
      <c r="H117" s="431"/>
      <c r="I117" s="517"/>
      <c r="J117" s="511"/>
      <c r="K117" s="510"/>
      <c r="L117" s="510"/>
      <c r="M117" s="518">
        <f t="shared" si="21"/>
        <v>0</v>
      </c>
      <c r="N117" s="519">
        <f t="shared" si="25"/>
        <v>0</v>
      </c>
    </row>
    <row r="118" spans="1:14" x14ac:dyDescent="0.2">
      <c r="A118" s="492"/>
      <c r="B118" s="504"/>
      <c r="C118" s="505"/>
      <c r="D118" s="506"/>
      <c r="E118" s="526"/>
      <c r="F118" s="508"/>
      <c r="G118" s="509"/>
      <c r="H118" s="509"/>
      <c r="I118" s="517"/>
      <c r="J118" s="511"/>
      <c r="K118" s="510"/>
      <c r="L118" s="510"/>
      <c r="M118" s="518">
        <f t="shared" si="21"/>
        <v>0</v>
      </c>
      <c r="N118" s="519">
        <f t="shared" si="25"/>
        <v>0</v>
      </c>
    </row>
    <row r="119" spans="1:14" s="397" customFormat="1" x14ac:dyDescent="0.2">
      <c r="A119" s="210"/>
      <c r="B119" s="504"/>
      <c r="C119" s="545"/>
      <c r="D119" s="506"/>
      <c r="E119" s="526"/>
      <c r="F119" s="508"/>
      <c r="G119" s="546"/>
      <c r="H119" s="546"/>
      <c r="I119" s="517"/>
      <c r="J119" s="511"/>
      <c r="K119" s="547"/>
      <c r="L119" s="547"/>
      <c r="M119" s="518">
        <f t="shared" si="21"/>
        <v>0</v>
      </c>
      <c r="N119" s="519">
        <f t="shared" si="25"/>
        <v>0</v>
      </c>
    </row>
    <row r="120" spans="1:14" s="552" customFormat="1" ht="15" x14ac:dyDescent="0.2">
      <c r="A120" s="214" t="s">
        <v>321</v>
      </c>
      <c r="B120" s="548"/>
      <c r="C120" s="549"/>
      <c r="D120" s="550"/>
      <c r="E120" s="551"/>
      <c r="F120" s="219" t="s">
        <v>335</v>
      </c>
      <c r="G120" s="220">
        <f>+ROUND(G117+G113+G102+G94+G49+G39+G25+G17,0)</f>
        <v>1782689281</v>
      </c>
      <c r="H120" s="434"/>
      <c r="I120" s="517"/>
      <c r="J120" s="511"/>
      <c r="L120" s="459">
        <f>SUM(L15:L117)</f>
        <v>1782689280.5163391</v>
      </c>
      <c r="M120" s="518">
        <f t="shared" si="21"/>
        <v>2388803636</v>
      </c>
      <c r="N120" s="519">
        <f t="shared" si="25"/>
        <v>-2388803636</v>
      </c>
    </row>
    <row r="121" spans="1:14" s="552" customFormat="1" ht="15.75" thickBot="1" x14ac:dyDescent="0.25">
      <c r="A121" s="214"/>
      <c r="B121" s="548"/>
      <c r="C121" s="553"/>
      <c r="D121" s="553"/>
      <c r="E121" s="554"/>
      <c r="F121" s="236"/>
      <c r="G121" s="237"/>
      <c r="H121" s="237"/>
      <c r="I121" s="517"/>
      <c r="J121" s="511"/>
      <c r="K121" s="555"/>
      <c r="L121" s="555"/>
      <c r="M121" s="518">
        <f t="shared" si="21"/>
        <v>0</v>
      </c>
      <c r="N121" s="519">
        <f t="shared" si="25"/>
        <v>0</v>
      </c>
    </row>
    <row r="122" spans="1:14" s="552" customFormat="1" ht="15" x14ac:dyDescent="0.2">
      <c r="A122" s="214"/>
      <c r="B122" s="129">
        <v>1</v>
      </c>
      <c r="C122" s="130" t="s">
        <v>322</v>
      </c>
      <c r="D122" s="131"/>
      <c r="E122" s="132"/>
      <c r="F122" s="133"/>
      <c r="G122" s="245">
        <f>+G127</f>
        <v>328103240</v>
      </c>
      <c r="H122" s="435"/>
      <c r="I122" s="517"/>
      <c r="J122" s="511"/>
      <c r="K122" s="555"/>
      <c r="L122" s="555"/>
      <c r="M122" s="518">
        <f t="shared" si="21"/>
        <v>0</v>
      </c>
      <c r="N122" s="519">
        <f t="shared" si="25"/>
        <v>0</v>
      </c>
    </row>
    <row r="123" spans="1:14" s="552" customFormat="1" x14ac:dyDescent="0.2">
      <c r="A123" s="214"/>
      <c r="B123" s="28" t="s">
        <v>102</v>
      </c>
      <c r="C123" s="470" t="s">
        <v>323</v>
      </c>
      <c r="D123" s="471" t="s">
        <v>104</v>
      </c>
      <c r="E123" s="513">
        <v>246</v>
      </c>
      <c r="F123" s="514">
        <v>129852</v>
      </c>
      <c r="G123" s="515">
        <f>F123*E123</f>
        <v>31943592</v>
      </c>
      <c r="H123" s="516"/>
      <c r="I123" s="517">
        <f>+F123</f>
        <v>129852</v>
      </c>
      <c r="J123" s="511">
        <f>+I123*1.19</f>
        <v>154523.88</v>
      </c>
      <c r="K123" s="511">
        <f t="shared" ref="K123:K125" si="31">+J123*E123</f>
        <v>38012874.480000004</v>
      </c>
      <c r="L123" s="511">
        <f t="shared" ref="L123:L126" si="32">+I123*E123</f>
        <v>31943592</v>
      </c>
      <c r="M123" s="518">
        <f>ROUND(L123*1.19,0)</f>
        <v>38012874</v>
      </c>
      <c r="N123" s="519">
        <f>K123-M123</f>
        <v>0.48000000417232513</v>
      </c>
    </row>
    <row r="124" spans="1:14" s="552" customFormat="1" x14ac:dyDescent="0.2">
      <c r="A124" s="214"/>
      <c r="B124" s="28" t="s">
        <v>324</v>
      </c>
      <c r="C124" s="470" t="s">
        <v>325</v>
      </c>
      <c r="D124" s="471" t="s">
        <v>104</v>
      </c>
      <c r="E124" s="513">
        <v>2800</v>
      </c>
      <c r="F124" s="514">
        <v>76660</v>
      </c>
      <c r="G124" s="515">
        <f>F124*E124</f>
        <v>214648000</v>
      </c>
      <c r="H124" s="516"/>
      <c r="I124" s="517">
        <f>+F124</f>
        <v>76660</v>
      </c>
      <c r="J124" s="511">
        <f t="shared" ref="J124:J126" si="33">+I124*1.19</f>
        <v>91225.4</v>
      </c>
      <c r="K124" s="511">
        <f t="shared" si="31"/>
        <v>255431119.99999997</v>
      </c>
      <c r="L124" s="511">
        <f t="shared" si="32"/>
        <v>214648000</v>
      </c>
      <c r="M124" s="518">
        <f t="shared" ref="M124:M132" si="34">ROUND(L124*1.19,0)</f>
        <v>255431120</v>
      </c>
      <c r="N124" s="519">
        <f t="shared" si="25"/>
        <v>0</v>
      </c>
    </row>
    <row r="125" spans="1:14" s="552" customFormat="1" x14ac:dyDescent="0.2">
      <c r="A125" s="214"/>
      <c r="B125" s="28" t="s">
        <v>326</v>
      </c>
      <c r="C125" s="470" t="s">
        <v>327</v>
      </c>
      <c r="D125" s="471" t="s">
        <v>104</v>
      </c>
      <c r="E125" s="513">
        <v>1720.58</v>
      </c>
      <c r="F125" s="514">
        <v>35013</v>
      </c>
      <c r="G125" s="515">
        <f>F125*E125</f>
        <v>60242667.539999999</v>
      </c>
      <c r="H125" s="516"/>
      <c r="I125" s="517">
        <f>+F125</f>
        <v>35013</v>
      </c>
      <c r="J125" s="511">
        <f t="shared" si="33"/>
        <v>41665.47</v>
      </c>
      <c r="K125" s="511">
        <f t="shared" si="31"/>
        <v>71688774.372600004</v>
      </c>
      <c r="L125" s="511">
        <f t="shared" si="32"/>
        <v>60242667.539999999</v>
      </c>
      <c r="M125" s="518">
        <f t="shared" si="34"/>
        <v>71688774</v>
      </c>
      <c r="N125" s="519">
        <f t="shared" si="25"/>
        <v>0.3726000040769577</v>
      </c>
    </row>
    <row r="126" spans="1:14" s="552" customFormat="1" ht="60" customHeight="1" x14ac:dyDescent="0.2">
      <c r="A126" s="214"/>
      <c r="B126" s="172" t="s">
        <v>328</v>
      </c>
      <c r="C126" s="530" t="str">
        <f>+'[3]APUS '!C2701</f>
        <v>MACROMEDIDOR 8" FULL BORE, BRIDADO ANSI 150, PROTOCOLO HART ERROR MÁXIMO 0.2%, TOTALIZADORES INDEPENDIENTE, IP68, 24 VDC, AUTO DIAGNÓSTICO Y CALIBRACIÓN HEARBEAT</v>
      </c>
      <c r="D126" s="531" t="s">
        <v>90</v>
      </c>
      <c r="E126" s="532">
        <v>1</v>
      </c>
      <c r="F126" s="533">
        <v>21268980</v>
      </c>
      <c r="G126" s="515">
        <f>F126*E126</f>
        <v>21268980</v>
      </c>
      <c r="H126" s="534"/>
      <c r="I126" s="556">
        <f>+F126</f>
        <v>21268980</v>
      </c>
      <c r="J126" s="511">
        <f t="shared" si="33"/>
        <v>25310086.199999999</v>
      </c>
      <c r="K126" s="557">
        <f>+J126*E126</f>
        <v>25310086.199999999</v>
      </c>
      <c r="L126" s="557">
        <f t="shared" si="32"/>
        <v>21268980</v>
      </c>
      <c r="M126" s="518">
        <f t="shared" si="34"/>
        <v>25310086</v>
      </c>
      <c r="N126" s="519">
        <f t="shared" si="25"/>
        <v>0.19999999925494194</v>
      </c>
    </row>
    <row r="127" spans="1:14" s="552" customFormat="1" ht="15.75" thickBot="1" x14ac:dyDescent="0.25">
      <c r="A127" s="214"/>
      <c r="B127" s="153"/>
      <c r="C127" s="523"/>
      <c r="D127" s="524"/>
      <c r="E127" s="525"/>
      <c r="F127" s="157" t="s">
        <v>329</v>
      </c>
      <c r="G127" s="246">
        <f>ROUND(SUM(G123:G126),0)</f>
        <v>328103240</v>
      </c>
      <c r="H127" s="436"/>
      <c r="I127" s="517"/>
      <c r="J127" s="511"/>
      <c r="K127" s="555"/>
      <c r="L127" s="555"/>
      <c r="M127" s="518">
        <f t="shared" si="34"/>
        <v>0</v>
      </c>
      <c r="N127" s="519">
        <f t="shared" si="25"/>
        <v>0</v>
      </c>
    </row>
    <row r="128" spans="1:14" s="552" customFormat="1" ht="15" thickBot="1" x14ac:dyDescent="0.25">
      <c r="A128" s="214"/>
      <c r="B128" s="504"/>
      <c r="C128" s="505"/>
      <c r="D128" s="506"/>
      <c r="E128" s="526"/>
      <c r="F128" s="508"/>
      <c r="G128" s="558"/>
      <c r="H128" s="558"/>
      <c r="I128" s="517"/>
      <c r="J128" s="511"/>
      <c r="K128" s="555"/>
      <c r="L128" s="555"/>
      <c r="M128" s="518">
        <f t="shared" si="34"/>
        <v>0</v>
      </c>
      <c r="N128" s="519">
        <f t="shared" si="25"/>
        <v>0</v>
      </c>
    </row>
    <row r="129" spans="1:14" s="552" customFormat="1" ht="15" x14ac:dyDescent="0.2">
      <c r="A129" s="214"/>
      <c r="B129" s="129">
        <v>2</v>
      </c>
      <c r="C129" s="130" t="s">
        <v>383</v>
      </c>
      <c r="D129" s="131"/>
      <c r="E129" s="132"/>
      <c r="F129" s="133"/>
      <c r="G129" s="245">
        <f>+G134</f>
        <v>77196000</v>
      </c>
      <c r="H129" s="435"/>
      <c r="I129" s="517"/>
      <c r="J129" s="511"/>
      <c r="K129" s="555"/>
      <c r="L129" s="555"/>
      <c r="M129" s="518">
        <f t="shared" si="34"/>
        <v>0</v>
      </c>
      <c r="N129" s="519">
        <f t="shared" si="25"/>
        <v>0</v>
      </c>
    </row>
    <row r="130" spans="1:14" s="552" customFormat="1" x14ac:dyDescent="0.2">
      <c r="A130" s="214"/>
      <c r="B130" s="28" t="s">
        <v>331</v>
      </c>
      <c r="C130" s="470" t="s">
        <v>289</v>
      </c>
      <c r="D130" s="471" t="s">
        <v>90</v>
      </c>
      <c r="E130" s="513">
        <v>250</v>
      </c>
      <c r="F130" s="514">
        <v>120078</v>
      </c>
      <c r="G130" s="515">
        <f>F130*E130</f>
        <v>30019500</v>
      </c>
      <c r="H130" s="516"/>
      <c r="I130" s="517">
        <f>+F130</f>
        <v>120078</v>
      </c>
      <c r="J130" s="511">
        <f t="shared" ref="J130:J132" si="35">+I130*1.19</f>
        <v>142892.82</v>
      </c>
      <c r="K130" s="511">
        <f t="shared" ref="K130:K132" si="36">+J130*E130</f>
        <v>35723205</v>
      </c>
      <c r="L130" s="511">
        <f t="shared" ref="L130:L132" si="37">+I130*E130</f>
        <v>30019500</v>
      </c>
      <c r="M130" s="518">
        <f t="shared" si="34"/>
        <v>35723205</v>
      </c>
      <c r="N130" s="519">
        <f t="shared" si="25"/>
        <v>0</v>
      </c>
    </row>
    <row r="131" spans="1:14" s="552" customFormat="1" x14ac:dyDescent="0.2">
      <c r="A131" s="214"/>
      <c r="B131" s="28" t="s">
        <v>332</v>
      </c>
      <c r="C131" s="470" t="s">
        <v>292</v>
      </c>
      <c r="D131" s="471" t="s">
        <v>90</v>
      </c>
      <c r="E131" s="513">
        <v>450</v>
      </c>
      <c r="F131" s="514">
        <v>101856</v>
      </c>
      <c r="G131" s="515">
        <f>F131*E131</f>
        <v>45835200</v>
      </c>
      <c r="H131" s="516"/>
      <c r="I131" s="517">
        <f>+F131</f>
        <v>101856</v>
      </c>
      <c r="J131" s="511">
        <f t="shared" si="35"/>
        <v>121208.64</v>
      </c>
      <c r="K131" s="511">
        <f t="shared" si="36"/>
        <v>54543888</v>
      </c>
      <c r="L131" s="511">
        <f t="shared" si="37"/>
        <v>45835200</v>
      </c>
      <c r="M131" s="518">
        <f t="shared" si="34"/>
        <v>54543888</v>
      </c>
      <c r="N131" s="519">
        <f t="shared" si="25"/>
        <v>0</v>
      </c>
    </row>
    <row r="132" spans="1:14" s="552" customFormat="1" x14ac:dyDescent="0.2">
      <c r="A132" s="214"/>
      <c r="B132" s="28" t="s">
        <v>333</v>
      </c>
      <c r="C132" s="470" t="s">
        <v>295</v>
      </c>
      <c r="D132" s="471" t="s">
        <v>90</v>
      </c>
      <c r="E132" s="513">
        <v>10</v>
      </c>
      <c r="F132" s="514">
        <v>134130</v>
      </c>
      <c r="G132" s="515">
        <f>F132*E132</f>
        <v>1341300</v>
      </c>
      <c r="H132" s="516"/>
      <c r="I132" s="517">
        <f>+F132</f>
        <v>134130</v>
      </c>
      <c r="J132" s="511">
        <f t="shared" si="35"/>
        <v>159614.69999999998</v>
      </c>
      <c r="K132" s="511">
        <f t="shared" si="36"/>
        <v>1596146.9999999998</v>
      </c>
      <c r="L132" s="511">
        <f t="shared" si="37"/>
        <v>1341300</v>
      </c>
      <c r="M132" s="518">
        <f t="shared" si="34"/>
        <v>1596147</v>
      </c>
      <c r="N132" s="519">
        <f t="shared" si="25"/>
        <v>0</v>
      </c>
    </row>
    <row r="133" spans="1:14" s="552" customFormat="1" x14ac:dyDescent="0.25">
      <c r="A133" s="214"/>
      <c r="B133" s="147"/>
      <c r="C133" s="470"/>
      <c r="D133" s="471"/>
      <c r="E133" s="521"/>
      <c r="F133" s="514"/>
      <c r="G133" s="515"/>
      <c r="H133" s="516"/>
      <c r="I133" s="555"/>
      <c r="J133" s="559"/>
      <c r="K133" s="555"/>
      <c r="L133" s="555"/>
    </row>
    <row r="134" spans="1:14" s="552" customFormat="1" ht="15.75" thickBot="1" x14ac:dyDescent="0.3">
      <c r="A134" s="214"/>
      <c r="B134" s="153"/>
      <c r="C134" s="523"/>
      <c r="D134" s="524"/>
      <c r="E134" s="525"/>
      <c r="F134" s="157" t="s">
        <v>334</v>
      </c>
      <c r="G134" s="246">
        <f>ROUND(SUM(G130:G133),0)</f>
        <v>77196000</v>
      </c>
      <c r="H134" s="436"/>
      <c r="I134" s="555"/>
      <c r="J134" s="559"/>
      <c r="K134" s="555"/>
      <c r="L134" s="555"/>
    </row>
    <row r="135" spans="1:14" s="552" customFormat="1" x14ac:dyDescent="0.25">
      <c r="A135" s="214"/>
      <c r="B135" s="504"/>
      <c r="C135" s="505"/>
      <c r="D135" s="506"/>
      <c r="E135" s="526"/>
      <c r="F135" s="508"/>
      <c r="G135" s="558"/>
      <c r="H135" s="558"/>
      <c r="I135" s="555"/>
      <c r="J135" s="559"/>
      <c r="K135" s="555"/>
      <c r="L135" s="555"/>
    </row>
    <row r="136" spans="1:14" s="552" customFormat="1" ht="15" x14ac:dyDescent="0.25">
      <c r="A136" s="214"/>
      <c r="B136" s="548"/>
      <c r="C136" s="549"/>
      <c r="D136" s="550"/>
      <c r="E136" s="551"/>
      <c r="F136" s="219" t="s">
        <v>335</v>
      </c>
      <c r="G136" s="248">
        <f>+G134+G127</f>
        <v>405299240</v>
      </c>
      <c r="H136" s="437"/>
      <c r="I136" s="555"/>
      <c r="J136" s="559"/>
      <c r="K136" s="555"/>
      <c r="L136" s="460">
        <f>SUM(L123:L135)</f>
        <v>405299239.54000002</v>
      </c>
    </row>
    <row r="137" spans="1:14" s="552" customFormat="1" ht="15" x14ac:dyDescent="0.25">
      <c r="A137" s="214"/>
      <c r="B137" s="548"/>
      <c r="C137" s="553"/>
      <c r="D137" s="553"/>
      <c r="E137" s="554"/>
      <c r="F137" s="236"/>
      <c r="G137" s="237"/>
      <c r="H137" s="237"/>
      <c r="I137" s="555"/>
      <c r="J137" s="559"/>
      <c r="K137" s="555"/>
      <c r="L137" s="555"/>
    </row>
    <row r="138" spans="1:14" s="552" customFormat="1" ht="15" x14ac:dyDescent="0.25">
      <c r="A138" s="214" t="s">
        <v>336</v>
      </c>
      <c r="B138" s="548"/>
      <c r="C138" s="560"/>
      <c r="D138" s="561"/>
      <c r="E138" s="562"/>
      <c r="F138" s="252" t="s">
        <v>337</v>
      </c>
      <c r="G138" s="253">
        <f>+G120</f>
        <v>1782689281</v>
      </c>
      <c r="H138" s="438"/>
      <c r="I138" s="555"/>
      <c r="J138" s="559"/>
      <c r="K138" s="555"/>
      <c r="L138" s="555"/>
    </row>
    <row r="139" spans="1:14" s="397" customFormat="1" x14ac:dyDescent="0.2">
      <c r="A139" s="492"/>
      <c r="B139" s="563"/>
      <c r="C139" s="564"/>
      <c r="D139" s="565"/>
      <c r="E139" s="507"/>
      <c r="F139" s="566"/>
      <c r="G139" s="567"/>
      <c r="H139" s="567"/>
      <c r="I139" s="547"/>
      <c r="J139" s="568"/>
      <c r="K139" s="547"/>
      <c r="L139" s="547"/>
    </row>
    <row r="140" spans="1:14" s="552" customFormat="1" ht="15" x14ac:dyDescent="0.25">
      <c r="A140" s="214" t="s">
        <v>338</v>
      </c>
      <c r="B140" s="548"/>
      <c r="C140" s="560"/>
      <c r="D140" s="561"/>
      <c r="E140" s="562"/>
      <c r="F140" s="252" t="s">
        <v>339</v>
      </c>
      <c r="G140" s="253">
        <f>+$G$136</f>
        <v>405299240</v>
      </c>
      <c r="H140" s="438"/>
      <c r="I140" s="555"/>
      <c r="J140" s="559"/>
      <c r="K140" s="555"/>
      <c r="L140" s="555"/>
    </row>
    <row r="141" spans="1:14" s="397" customFormat="1" ht="23.25" customHeight="1" x14ac:dyDescent="0.2">
      <c r="A141" s="492"/>
      <c r="B141" s="563"/>
      <c r="C141" s="564"/>
      <c r="D141" s="565"/>
      <c r="E141" s="507"/>
      <c r="F141" s="566"/>
      <c r="G141" s="281"/>
      <c r="H141" s="281"/>
      <c r="I141" s="547"/>
      <c r="J141" s="568"/>
      <c r="K141" s="547"/>
      <c r="L141" s="547"/>
    </row>
    <row r="142" spans="1:14" s="397" customFormat="1" ht="15" customHeight="1" x14ac:dyDescent="0.2">
      <c r="A142" s="282" t="s">
        <v>340</v>
      </c>
      <c r="B142" s="563"/>
      <c r="C142" s="283" t="s">
        <v>341</v>
      </c>
      <c r="D142" s="569"/>
      <c r="E142" s="570"/>
      <c r="F142" s="571"/>
      <c r="G142" s="572"/>
      <c r="H142" s="573"/>
      <c r="I142" s="547"/>
      <c r="J142" s="568"/>
      <c r="K142" s="547"/>
      <c r="L142" s="547"/>
    </row>
    <row r="143" spans="1:14" s="397" customFormat="1" x14ac:dyDescent="0.2">
      <c r="A143" s="293" t="s">
        <v>342</v>
      </c>
      <c r="B143" s="400"/>
      <c r="C143" s="574"/>
      <c r="D143" s="575"/>
      <c r="E143" s="576"/>
      <c r="F143" s="297" t="s">
        <v>337</v>
      </c>
      <c r="G143" s="298">
        <f>G138</f>
        <v>1782689281</v>
      </c>
      <c r="H143" s="440"/>
      <c r="I143" s="547"/>
      <c r="J143" s="568"/>
      <c r="K143" s="547"/>
      <c r="L143" s="461">
        <f>+L120</f>
        <v>1782689280.5163391</v>
      </c>
    </row>
    <row r="144" spans="1:14" s="397" customFormat="1" x14ac:dyDescent="0.2">
      <c r="A144" s="293" t="s">
        <v>343</v>
      </c>
      <c r="B144" s="400"/>
      <c r="C144" s="596"/>
      <c r="D144" s="597"/>
      <c r="E144" s="598" t="s">
        <v>344</v>
      </c>
      <c r="F144" s="599">
        <v>0.28000000000000003</v>
      </c>
      <c r="G144" s="577">
        <f>+$G$143*F144</f>
        <v>499152998.68000007</v>
      </c>
      <c r="H144" s="578"/>
      <c r="I144" s="547"/>
      <c r="J144" s="568"/>
      <c r="K144" s="547"/>
      <c r="L144" s="579">
        <f>+ROUND(F144*$L$143,0)</f>
        <v>499152999</v>
      </c>
    </row>
    <row r="145" spans="1:12" s="397" customFormat="1" x14ac:dyDescent="0.2">
      <c r="A145" s="293" t="s">
        <v>345</v>
      </c>
      <c r="B145" s="400"/>
      <c r="C145" s="600"/>
      <c r="D145" s="601"/>
      <c r="E145" s="602" t="s">
        <v>346</v>
      </c>
      <c r="F145" s="603">
        <v>0.01</v>
      </c>
      <c r="G145" s="577">
        <f>+$G$143*F145</f>
        <v>17826892.809999999</v>
      </c>
      <c r="H145" s="578"/>
      <c r="I145" s="547"/>
      <c r="J145" s="568"/>
      <c r="K145" s="547"/>
      <c r="L145" s="579">
        <f t="shared" ref="L145:L146" si="38">+ROUND(F145*$L$143,0)</f>
        <v>17826893</v>
      </c>
    </row>
    <row r="146" spans="1:12" s="397" customFormat="1" x14ac:dyDescent="0.2">
      <c r="A146" s="293" t="s">
        <v>347</v>
      </c>
      <c r="B146" s="400"/>
      <c r="C146" s="600"/>
      <c r="D146" s="601"/>
      <c r="E146" s="602" t="s">
        <v>348</v>
      </c>
      <c r="F146" s="603">
        <v>0.05</v>
      </c>
      <c r="G146" s="577">
        <f>+$G$143*F146</f>
        <v>89134464.050000012</v>
      </c>
      <c r="H146" s="578"/>
      <c r="I146" s="547"/>
      <c r="J146" s="568"/>
      <c r="K146" s="547"/>
      <c r="L146" s="579">
        <f t="shared" si="38"/>
        <v>89134464</v>
      </c>
    </row>
    <row r="147" spans="1:12" s="397" customFormat="1" x14ac:dyDescent="0.2">
      <c r="A147" s="293" t="s">
        <v>349</v>
      </c>
      <c r="B147" s="400"/>
      <c r="C147" s="604"/>
      <c r="D147" s="605"/>
      <c r="E147" s="606" t="s">
        <v>350</v>
      </c>
      <c r="F147" s="607">
        <f>SUM(F144:F146)</f>
        <v>0.34</v>
      </c>
      <c r="G147" s="339">
        <f>SUM(G144:G146)</f>
        <v>606114355.54000008</v>
      </c>
      <c r="H147" s="442"/>
      <c r="I147" s="547"/>
      <c r="J147" s="568"/>
      <c r="K147" s="547"/>
      <c r="L147" s="579">
        <f>SUM(L144:L146)</f>
        <v>606114356</v>
      </c>
    </row>
    <row r="148" spans="1:12" s="397" customFormat="1" ht="15" x14ac:dyDescent="0.25">
      <c r="A148" s="293" t="s">
        <v>351</v>
      </c>
      <c r="B148" s="400"/>
      <c r="C148" s="580"/>
      <c r="D148" s="581"/>
      <c r="E148" s="582"/>
      <c r="F148" s="355" t="s">
        <v>352</v>
      </c>
      <c r="G148" s="356">
        <f>G143+G147</f>
        <v>2388803636.54</v>
      </c>
      <c r="H148" s="443"/>
      <c r="I148" s="547"/>
      <c r="J148" s="568"/>
      <c r="K148" s="547"/>
      <c r="L148" s="455">
        <f>SUM(L143:L146)</f>
        <v>2388803636.5163393</v>
      </c>
    </row>
    <row r="149" spans="1:12" s="397" customFormat="1" x14ac:dyDescent="0.2">
      <c r="A149" s="366"/>
      <c r="B149" s="400"/>
      <c r="C149" s="400"/>
      <c r="D149" s="400"/>
      <c r="E149" s="583"/>
      <c r="F149" s="368"/>
      <c r="G149" s="369"/>
      <c r="H149" s="369"/>
      <c r="I149" s="547"/>
      <c r="J149" s="568"/>
      <c r="K149" s="547"/>
      <c r="L149" s="547"/>
    </row>
    <row r="150" spans="1:12" s="397" customFormat="1" ht="15" customHeight="1" x14ac:dyDescent="0.2">
      <c r="A150" s="282" t="s">
        <v>353</v>
      </c>
      <c r="B150" s="563"/>
      <c r="C150" s="283" t="s">
        <v>354</v>
      </c>
      <c r="D150" s="569"/>
      <c r="E150" s="570"/>
      <c r="F150" s="571"/>
      <c r="G150" s="572"/>
      <c r="H150" s="573"/>
      <c r="I150" s="547"/>
      <c r="J150" s="568"/>
      <c r="K150" s="547"/>
      <c r="L150" s="547"/>
    </row>
    <row r="151" spans="1:12" s="397" customFormat="1" x14ac:dyDescent="0.2">
      <c r="A151" s="293" t="s">
        <v>355</v>
      </c>
      <c r="B151" s="400"/>
      <c r="C151" s="574"/>
      <c r="D151" s="575"/>
      <c r="E151" s="576"/>
      <c r="F151" s="297" t="s">
        <v>339</v>
      </c>
      <c r="G151" s="371">
        <f>G140</f>
        <v>405299240</v>
      </c>
      <c r="H151" s="444"/>
      <c r="I151" s="547"/>
      <c r="J151" s="568"/>
      <c r="K151" s="547"/>
      <c r="L151" s="463">
        <f>+L136</f>
        <v>405299239.54000002</v>
      </c>
    </row>
    <row r="152" spans="1:12" s="397" customFormat="1" x14ac:dyDescent="0.2">
      <c r="A152" s="293" t="s">
        <v>356</v>
      </c>
      <c r="B152" s="400"/>
      <c r="C152" s="596"/>
      <c r="D152" s="597"/>
      <c r="E152" s="598" t="s">
        <v>344</v>
      </c>
      <c r="F152" s="608">
        <v>0.19000000000000003</v>
      </c>
      <c r="G152" s="584">
        <f>G151*F152</f>
        <v>77006855.600000009</v>
      </c>
      <c r="H152" s="585"/>
      <c r="I152" s="547"/>
      <c r="J152" s="568"/>
      <c r="K152" s="547"/>
      <c r="L152" s="568">
        <f>+ROUND(L151*F152,0)</f>
        <v>77006856</v>
      </c>
    </row>
    <row r="153" spans="1:12" s="397" customFormat="1" ht="15" x14ac:dyDescent="0.25">
      <c r="A153" s="293" t="s">
        <v>357</v>
      </c>
      <c r="B153" s="400"/>
      <c r="C153" s="580"/>
      <c r="D153" s="581"/>
      <c r="E153" s="582"/>
      <c r="F153" s="355" t="s">
        <v>358</v>
      </c>
      <c r="G153" s="356">
        <f>G151+G152</f>
        <v>482306095.60000002</v>
      </c>
      <c r="H153" s="443"/>
      <c r="I153" s="547"/>
      <c r="J153" s="568"/>
      <c r="K153" s="547"/>
      <c r="L153" s="455">
        <f>SUM(L151:L152)</f>
        <v>482306095.54000002</v>
      </c>
    </row>
    <row r="154" spans="1:12" s="397" customFormat="1" x14ac:dyDescent="0.2">
      <c r="A154" s="366"/>
      <c r="B154" s="400"/>
      <c r="C154" s="400"/>
      <c r="D154" s="400"/>
      <c r="E154" s="583"/>
      <c r="F154" s="368"/>
      <c r="G154" s="369"/>
      <c r="H154" s="369"/>
      <c r="I154" s="547"/>
      <c r="J154" s="568"/>
      <c r="K154" s="547"/>
      <c r="L154" s="547"/>
    </row>
    <row r="155" spans="1:12" ht="15" x14ac:dyDescent="0.25">
      <c r="A155" s="586"/>
      <c r="C155" s="580"/>
      <c r="D155" s="581"/>
      <c r="E155" s="582"/>
      <c r="F155" s="355" t="s">
        <v>359</v>
      </c>
      <c r="G155" s="356">
        <f>+G153+G148</f>
        <v>2871109732.1399999</v>
      </c>
      <c r="H155" s="443"/>
      <c r="I155" s="510"/>
      <c r="J155" s="511"/>
      <c r="K155" s="455">
        <f>SUM(K15:K154)</f>
        <v>2871109730.9444938</v>
      </c>
      <c r="L155" s="455">
        <f>+L153+L148</f>
        <v>2871109732.0563393</v>
      </c>
    </row>
    <row r="156" spans="1:12" ht="15" hidden="1" x14ac:dyDescent="0.25">
      <c r="A156" s="586"/>
      <c r="G156" s="356">
        <v>2871109732</v>
      </c>
      <c r="H156" s="443"/>
      <c r="I156" s="510"/>
      <c r="J156" s="511"/>
      <c r="K156" s="589">
        <f>+G155-K155</f>
        <v>1.1955060958862305</v>
      </c>
      <c r="L156" s="589">
        <f>+G155-L155</f>
        <v>8.3660602569580078E-2</v>
      </c>
    </row>
    <row r="157" spans="1:12" s="397" customFormat="1" x14ac:dyDescent="0.2">
      <c r="A157" s="586"/>
      <c r="B157" s="400"/>
      <c r="C157" s="400"/>
      <c r="D157" s="400"/>
      <c r="E157" s="583"/>
      <c r="F157" s="590"/>
      <c r="G157" s="591"/>
      <c r="H157" s="591"/>
      <c r="J157" s="493"/>
    </row>
    <row r="158" spans="1:12" s="397" customFormat="1" x14ac:dyDescent="0.2">
      <c r="A158" s="586"/>
      <c r="B158" s="400"/>
      <c r="C158" s="400"/>
      <c r="D158" s="400"/>
      <c r="E158" s="583"/>
      <c r="F158" s="590"/>
      <c r="G158" s="591"/>
      <c r="H158" s="591"/>
      <c r="J158" s="493"/>
    </row>
    <row r="159" spans="1:12" s="397" customFormat="1" x14ac:dyDescent="0.2">
      <c r="A159" s="586"/>
      <c r="B159" s="400"/>
      <c r="C159" s="400"/>
      <c r="D159" s="565"/>
      <c r="E159" s="507"/>
      <c r="F159" s="592"/>
      <c r="G159" s="480"/>
      <c r="H159" s="480"/>
      <c r="J159" s="493"/>
    </row>
    <row r="160" spans="1:12" s="397" customFormat="1" x14ac:dyDescent="0.2">
      <c r="A160" s="586"/>
      <c r="B160" s="400"/>
      <c r="C160" s="593"/>
      <c r="D160" s="565"/>
      <c r="E160" s="507"/>
      <c r="F160" s="592"/>
      <c r="G160" s="480"/>
      <c r="H160" s="480"/>
      <c r="J160" s="493"/>
    </row>
  </sheetData>
  <mergeCells count="4">
    <mergeCell ref="F1:F2"/>
    <mergeCell ref="B9:B10"/>
    <mergeCell ref="B7:G8"/>
    <mergeCell ref="C9:G10"/>
  </mergeCells>
  <conditionalFormatting sqref="C129">
    <cfRule type="cellIs" dxfId="27" priority="1" operator="equal">
      <formula>"ESCRIBA AQUÍ EL NOMBRE DEL CAPITULO"</formula>
    </cfRule>
  </conditionalFormatting>
  <pageMargins left="0.70866141732283472" right="0.70866141732283472" top="0.74803149606299213" bottom="0.74803149606299213" header="0.31496062992125984" footer="0.31496062992125984"/>
  <pageSetup scale="7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61"/>
  <sheetViews>
    <sheetView showGridLines="0" view="pageBreakPreview" topLeftCell="B7" zoomScale="70" zoomScaleNormal="100" zoomScaleSheetLayoutView="70" workbookViewId="0">
      <selection activeCell="K25" sqref="K25"/>
    </sheetView>
  </sheetViews>
  <sheetFormatPr baseColWidth="10" defaultColWidth="11.42578125" defaultRowHeight="15" x14ac:dyDescent="0.25"/>
  <cols>
    <col min="1" max="1" width="9.5703125" hidden="1" customWidth="1"/>
    <col min="2" max="2" width="9.5703125" customWidth="1"/>
    <col min="3" max="3" width="52" customWidth="1"/>
    <col min="4" max="4" width="7.5703125" customWidth="1"/>
    <col min="5" max="5" width="12.7109375" style="389" customWidth="1"/>
    <col min="6" max="6" width="14.5703125" style="390" customWidth="1"/>
    <col min="7" max="7" width="21.42578125" bestFit="1" customWidth="1"/>
    <col min="8" max="8" width="18.5703125" customWidth="1"/>
    <col min="52" max="54" width="0" hidden="1" customWidth="1"/>
  </cols>
  <sheetData>
    <row r="1" spans="1:67" s="26" customFormat="1" ht="12.2" hidden="1" customHeight="1" thickTop="1" x14ac:dyDescent="0.25">
      <c r="A1" s="1" t="s">
        <v>0</v>
      </c>
      <c r="B1" s="2" t="s">
        <v>1</v>
      </c>
      <c r="C1" s="3"/>
      <c r="D1" s="4"/>
      <c r="E1" s="5" t="s">
        <v>2</v>
      </c>
      <c r="F1" s="647" t="e">
        <f>"Duración  Obra    " &amp;#REF! &amp; " Días"</f>
        <v>#REF!</v>
      </c>
      <c r="G1" s="6" t="e">
        <f>#REF!</f>
        <v>#REF!</v>
      </c>
      <c r="H1" s="422"/>
      <c r="T1" s="27"/>
      <c r="U1" s="28"/>
      <c r="V1" s="29"/>
      <c r="W1" s="30"/>
      <c r="X1" s="31"/>
      <c r="Y1" s="32">
        <f>IF($A$2="CD",AA1,IF($A$2="CT",AB1,"Correg CT"))</f>
        <v>0</v>
      </c>
      <c r="Z1" s="33" t="e">
        <f>ROUND(X1 * Y1,#REF!)</f>
        <v>#REF!</v>
      </c>
      <c r="AA1" s="34"/>
      <c r="AB1" s="35"/>
      <c r="AC1" s="32">
        <v>1</v>
      </c>
      <c r="AD1" s="32"/>
      <c r="AE1" s="36" t="e">
        <f>ROUND(AB1 * X1,#REF!)</f>
        <v>#REF!</v>
      </c>
      <c r="AF1" s="37" t="e">
        <f>ROUND(AA1 * X1,#REF!)</f>
        <v>#REF!</v>
      </c>
      <c r="AG1" s="38" t="e">
        <f>Z1*#REF!</f>
        <v>#REF!</v>
      </c>
      <c r="AH1" s="39"/>
      <c r="AI1" s="40"/>
      <c r="AJ1" s="41"/>
      <c r="AK1" s="41"/>
      <c r="AL1" s="42"/>
      <c r="AM1" s="43">
        <f>AI1+AJ1+AK1+AL1</f>
        <v>0</v>
      </c>
      <c r="AN1" s="44"/>
      <c r="AP1"/>
      <c r="AQ1"/>
      <c r="AR1"/>
      <c r="AS1"/>
      <c r="AT1"/>
      <c r="AU1"/>
      <c r="AV1"/>
      <c r="AW1"/>
      <c r="AX1"/>
      <c r="AY1" s="45"/>
      <c r="AZ1" s="46" t="e">
        <f>"CAP. " &amp;#REF! &amp; ": " &amp;#REF!</f>
        <v>#REF!</v>
      </c>
      <c r="BA1" s="47" t="e">
        <f>ROW(#REF!)</f>
        <v>#REF!</v>
      </c>
      <c r="BB1" s="47"/>
      <c r="BC1" s="47"/>
      <c r="BD1" s="48"/>
      <c r="BE1" s="49"/>
      <c r="BF1"/>
      <c r="BG1"/>
      <c r="BH1" s="50">
        <f>X1</f>
        <v>0</v>
      </c>
      <c r="BI1" s="51"/>
      <c r="BJ1" s="52">
        <f>BH1+BI1</f>
        <v>0</v>
      </c>
      <c r="BK1" s="53">
        <f>Y1</f>
        <v>0</v>
      </c>
      <c r="BL1" s="54" t="e">
        <f>ROUND(BJ1 * BK1,#REF!)</f>
        <v>#REF!</v>
      </c>
      <c r="BM1" s="55"/>
      <c r="BN1" s="56"/>
      <c r="BO1"/>
    </row>
    <row r="2" spans="1:67" s="26" customFormat="1" ht="12.2" hidden="1" customHeight="1" thickBot="1" x14ac:dyDescent="0.3">
      <c r="A2" s="1" t="s">
        <v>8</v>
      </c>
      <c r="B2" s="57" t="str">
        <f>IF($A$2="CD","CD",IF($A$2="CT","CT",""))</f>
        <v>CD</v>
      </c>
      <c r="C2" s="58"/>
      <c r="D2" s="59"/>
      <c r="E2" s="60"/>
      <c r="F2" s="647"/>
      <c r="G2" s="61" t="str">
        <f>IF([3]INSUMOS!J2=1,"CHEQ. INSUMOS","Insumos ok.")</f>
        <v>Insumos ok.</v>
      </c>
      <c r="H2" s="423"/>
      <c r="T2" s="70" t="s">
        <v>22</v>
      </c>
      <c r="U2" s="70" t="s">
        <v>23</v>
      </c>
      <c r="V2" s="70" t="s">
        <v>24</v>
      </c>
      <c r="W2" s="70" t="s">
        <v>25</v>
      </c>
      <c r="X2" s="70" t="s">
        <v>26</v>
      </c>
      <c r="Y2" s="70" t="s">
        <v>27</v>
      </c>
      <c r="Z2" s="70" t="s">
        <v>28</v>
      </c>
      <c r="AA2" s="70" t="s">
        <v>29</v>
      </c>
      <c r="AB2" s="70" t="s">
        <v>30</v>
      </c>
      <c r="AC2" s="70" t="s">
        <v>31</v>
      </c>
      <c r="AD2" s="70" t="s">
        <v>32</v>
      </c>
      <c r="AE2" s="70" t="s">
        <v>33</v>
      </c>
      <c r="AF2" s="70" t="s">
        <v>34</v>
      </c>
      <c r="AG2" s="70" t="s">
        <v>35</v>
      </c>
      <c r="AH2" s="70" t="s">
        <v>36</v>
      </c>
      <c r="AI2" s="70" t="s">
        <v>37</v>
      </c>
      <c r="AJ2" s="70" t="s">
        <v>38</v>
      </c>
      <c r="AK2" s="70" t="s">
        <v>39</v>
      </c>
      <c r="AL2" s="70" t="s">
        <v>40</v>
      </c>
      <c r="AM2" s="70" t="s">
        <v>41</v>
      </c>
      <c r="AN2" s="70" t="s">
        <v>42</v>
      </c>
      <c r="AO2" s="70" t="s">
        <v>43</v>
      </c>
      <c r="AP2" s="70" t="s">
        <v>44</v>
      </c>
      <c r="AQ2" s="70" t="s">
        <v>45</v>
      </c>
      <c r="AR2" s="70" t="s">
        <v>46</v>
      </c>
      <c r="AS2" s="70" t="s">
        <v>47</v>
      </c>
      <c r="AT2" s="70" t="s">
        <v>48</v>
      </c>
      <c r="AU2" s="70" t="s">
        <v>49</v>
      </c>
      <c r="AV2" s="70" t="s">
        <v>50</v>
      </c>
      <c r="AW2" s="70" t="s">
        <v>51</v>
      </c>
      <c r="AX2" s="70" t="s">
        <v>52</v>
      </c>
      <c r="AY2" s="70" t="s">
        <v>53</v>
      </c>
      <c r="AZ2" s="70" t="s">
        <v>54</v>
      </c>
      <c r="BA2" s="70" t="s">
        <v>55</v>
      </c>
      <c r="BB2" s="70" t="s">
        <v>56</v>
      </c>
      <c r="BC2" s="70" t="s">
        <v>57</v>
      </c>
      <c r="BD2" s="70" t="s">
        <v>58</v>
      </c>
      <c r="BE2" s="70" t="s">
        <v>59</v>
      </c>
      <c r="BF2" s="70" t="s">
        <v>60</v>
      </c>
      <c r="BG2" s="70" t="s">
        <v>61</v>
      </c>
      <c r="BH2" s="70" t="s">
        <v>62</v>
      </c>
      <c r="BI2" s="70" t="s">
        <v>63</v>
      </c>
      <c r="BJ2" s="70" t="s">
        <v>64</v>
      </c>
      <c r="BK2" s="70" t="s">
        <v>65</v>
      </c>
      <c r="BL2" s="70" t="s">
        <v>66</v>
      </c>
      <c r="BM2" s="70" t="s">
        <v>67</v>
      </c>
      <c r="BN2" s="70" t="s">
        <v>68</v>
      </c>
    </row>
    <row r="3" spans="1:67" s="26" customFormat="1" ht="12.2" hidden="1" customHeight="1" thickTop="1" x14ac:dyDescent="0.25">
      <c r="A3" s="1"/>
      <c r="B3" s="57"/>
      <c r="C3" s="58"/>
      <c r="D3" s="59"/>
      <c r="E3" s="71"/>
      <c r="F3" s="72"/>
      <c r="G3" s="73"/>
      <c r="H3" s="73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</row>
    <row r="4" spans="1:67" s="26" customFormat="1" ht="12.2" hidden="1" customHeight="1" x14ac:dyDescent="0.25">
      <c r="A4" s="1"/>
      <c r="B4" s="57"/>
      <c r="C4" s="58"/>
      <c r="D4" s="59"/>
      <c r="E4" s="71"/>
      <c r="F4" s="72"/>
      <c r="G4" s="73"/>
      <c r="H4" s="73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</row>
    <row r="5" spans="1:67" s="26" customFormat="1" ht="12.2" hidden="1" customHeight="1" x14ac:dyDescent="0.25">
      <c r="A5" s="1"/>
      <c r="B5" s="57"/>
      <c r="C5" s="58"/>
      <c r="D5" s="59"/>
      <c r="E5" s="71"/>
      <c r="F5" s="72"/>
      <c r="G5" s="73"/>
      <c r="H5" s="73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</row>
    <row r="6" spans="1:67" s="26" customFormat="1" ht="12.2" hidden="1" customHeight="1" thickBot="1" x14ac:dyDescent="0.3">
      <c r="A6" s="1"/>
      <c r="B6" s="57"/>
      <c r="C6" s="58"/>
      <c r="D6" s="59"/>
      <c r="E6" s="71"/>
      <c r="F6" s="72"/>
      <c r="G6" s="73"/>
      <c r="H6" s="73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</row>
    <row r="7" spans="1:67" s="84" customFormat="1" ht="42.75" customHeight="1" x14ac:dyDescent="0.25">
      <c r="A7" s="80"/>
      <c r="B7" s="655" t="s">
        <v>381</v>
      </c>
      <c r="C7" s="655"/>
      <c r="D7" s="655"/>
      <c r="E7" s="655"/>
      <c r="F7" s="655"/>
      <c r="G7" s="655"/>
      <c r="H7" s="424"/>
    </row>
    <row r="8" spans="1:67" s="84" customFormat="1" ht="15.6" customHeight="1" x14ac:dyDescent="0.25">
      <c r="A8" s="80"/>
      <c r="B8" s="655"/>
      <c r="C8" s="655"/>
      <c r="D8" s="655"/>
      <c r="E8" s="655"/>
      <c r="F8" s="655"/>
      <c r="G8" s="655"/>
      <c r="H8" s="424"/>
    </row>
    <row r="9" spans="1:67" s="84" customFormat="1" ht="15" customHeight="1" x14ac:dyDescent="0.25">
      <c r="A9" s="80"/>
      <c r="B9" s="654" t="s">
        <v>379</v>
      </c>
      <c r="C9" s="656" t="s">
        <v>378</v>
      </c>
      <c r="D9" s="656"/>
      <c r="E9" s="656"/>
      <c r="F9" s="656"/>
      <c r="G9" s="656"/>
      <c r="H9" s="425"/>
    </row>
    <row r="10" spans="1:67" s="84" customFormat="1" ht="21.2" customHeight="1" x14ac:dyDescent="0.25">
      <c r="A10" s="80"/>
      <c r="B10" s="654"/>
      <c r="C10" s="656"/>
      <c r="D10" s="656"/>
      <c r="E10" s="656"/>
      <c r="F10" s="656"/>
      <c r="G10" s="656"/>
      <c r="H10" s="426"/>
    </row>
    <row r="11" spans="1:67" s="84" customFormat="1" ht="20.100000000000001" customHeight="1" x14ac:dyDescent="0.25">
      <c r="A11" s="80"/>
      <c r="B11" s="103"/>
      <c r="C11" s="104"/>
      <c r="D11" s="105"/>
      <c r="E11" s="106"/>
      <c r="F11" s="107"/>
      <c r="G11" s="108"/>
      <c r="H11" s="108"/>
    </row>
    <row r="12" spans="1:67" s="84" customFormat="1" ht="15.75" customHeight="1" x14ac:dyDescent="0.25">
      <c r="A12" s="112" t="s">
        <v>87</v>
      </c>
      <c r="B12" s="113" t="s">
        <v>88</v>
      </c>
      <c r="C12" s="113" t="s">
        <v>89</v>
      </c>
      <c r="D12" s="113" t="s">
        <v>90</v>
      </c>
      <c r="E12" s="114" t="s">
        <v>91</v>
      </c>
      <c r="F12" s="115" t="s">
        <v>92</v>
      </c>
      <c r="G12" s="116" t="s">
        <v>372</v>
      </c>
      <c r="H12" s="427"/>
    </row>
    <row r="13" spans="1:67" ht="22.9" customHeight="1" thickBot="1" x14ac:dyDescent="0.3">
      <c r="A13" s="80"/>
      <c r="B13" s="122"/>
      <c r="C13" s="123"/>
      <c r="D13" s="124"/>
      <c r="E13" s="125"/>
      <c r="F13" s="126"/>
      <c r="G13" s="127"/>
      <c r="H13" s="127"/>
    </row>
    <row r="14" spans="1:67" x14ac:dyDescent="0.25">
      <c r="A14" s="128" t="s">
        <v>98</v>
      </c>
      <c r="B14" s="129">
        <v>1</v>
      </c>
      <c r="C14" s="130" t="s">
        <v>99</v>
      </c>
      <c r="D14" s="131"/>
      <c r="E14" s="132"/>
      <c r="F14" s="133"/>
      <c r="G14" s="134">
        <f>SUM(G15:G16)</f>
        <v>0</v>
      </c>
      <c r="H14" s="428"/>
    </row>
    <row r="15" spans="1:67" x14ac:dyDescent="0.25">
      <c r="A15" s="27" t="s">
        <v>101</v>
      </c>
      <c r="B15" s="28" t="s">
        <v>102</v>
      </c>
      <c r="C15" s="29" t="s">
        <v>103</v>
      </c>
      <c r="D15" s="30" t="s">
        <v>104</v>
      </c>
      <c r="E15" s="143">
        <v>4767</v>
      </c>
      <c r="F15" s="144"/>
      <c r="G15" s="145"/>
      <c r="H15" s="429"/>
    </row>
    <row r="16" spans="1:67" x14ac:dyDescent="0.25">
      <c r="A16" s="146"/>
      <c r="B16" s="147"/>
      <c r="C16" s="29"/>
      <c r="D16" s="30"/>
      <c r="E16" s="148"/>
      <c r="F16" s="144"/>
      <c r="G16" s="33"/>
      <c r="H16" s="39"/>
    </row>
    <row r="17" spans="1:8" ht="15.75" thickBot="1" x14ac:dyDescent="0.3">
      <c r="A17" s="152" t="s">
        <v>105</v>
      </c>
      <c r="B17" s="153"/>
      <c r="C17" s="154"/>
      <c r="D17" s="155"/>
      <c r="E17" s="156"/>
      <c r="F17" s="157" t="s">
        <v>364</v>
      </c>
      <c r="G17" s="158">
        <f>SUM(G15:G16)</f>
        <v>0</v>
      </c>
      <c r="H17" s="430"/>
    </row>
    <row r="18" spans="1:8" ht="27.6" customHeight="1" thickBot="1" x14ac:dyDescent="0.3">
      <c r="A18" s="80"/>
      <c r="B18" s="122"/>
      <c r="C18" s="123"/>
      <c r="D18" s="124"/>
      <c r="E18" s="164"/>
      <c r="F18" s="126"/>
      <c r="G18" s="127"/>
      <c r="H18" s="127"/>
    </row>
    <row r="19" spans="1:8" x14ac:dyDescent="0.25">
      <c r="A19" s="128" t="s">
        <v>98</v>
      </c>
      <c r="B19" s="129">
        <v>2</v>
      </c>
      <c r="C19" s="130" t="s">
        <v>106</v>
      </c>
      <c r="D19" s="131"/>
      <c r="E19" s="132"/>
      <c r="F19" s="133"/>
      <c r="G19" s="134">
        <f>SUM(G20:G24)</f>
        <v>0</v>
      </c>
      <c r="H19" s="428"/>
    </row>
    <row r="20" spans="1:8" x14ac:dyDescent="0.25">
      <c r="A20" s="27" t="s">
        <v>107</v>
      </c>
      <c r="B20" s="28" t="s">
        <v>108</v>
      </c>
      <c r="C20" s="29" t="s">
        <v>109</v>
      </c>
      <c r="D20" s="30" t="s">
        <v>104</v>
      </c>
      <c r="E20" s="143">
        <v>10384</v>
      </c>
      <c r="F20" s="144"/>
      <c r="G20" s="145"/>
      <c r="H20" s="429"/>
    </row>
    <row r="21" spans="1:8" x14ac:dyDescent="0.25">
      <c r="A21" s="27" t="s">
        <v>110</v>
      </c>
      <c r="B21" s="28" t="s">
        <v>111</v>
      </c>
      <c r="C21" s="29" t="s">
        <v>112</v>
      </c>
      <c r="D21" s="30" t="s">
        <v>113</v>
      </c>
      <c r="E21" s="143">
        <v>4791.6000000000004</v>
      </c>
      <c r="F21" s="144"/>
      <c r="G21" s="145"/>
      <c r="H21" s="429"/>
    </row>
    <row r="22" spans="1:8" x14ac:dyDescent="0.25">
      <c r="A22" s="27" t="s">
        <v>114</v>
      </c>
      <c r="B22" s="28" t="s">
        <v>115</v>
      </c>
      <c r="C22" s="29" t="s">
        <v>116</v>
      </c>
      <c r="D22" s="30" t="s">
        <v>117</v>
      </c>
      <c r="E22" s="143">
        <v>5635.8</v>
      </c>
      <c r="F22" s="144"/>
      <c r="G22" s="145"/>
      <c r="H22" s="429"/>
    </row>
    <row r="23" spans="1:8" x14ac:dyDescent="0.25">
      <c r="A23" s="27" t="s">
        <v>118</v>
      </c>
      <c r="B23" s="28" t="s">
        <v>119</v>
      </c>
      <c r="C23" s="29" t="s">
        <v>120</v>
      </c>
      <c r="D23" s="30" t="s">
        <v>113</v>
      </c>
      <c r="E23" s="143">
        <v>710</v>
      </c>
      <c r="F23" s="144"/>
      <c r="G23" s="145"/>
      <c r="H23" s="429"/>
    </row>
    <row r="24" spans="1:8" x14ac:dyDescent="0.25">
      <c r="A24" s="146"/>
      <c r="B24" s="147"/>
      <c r="C24" s="29"/>
      <c r="D24" s="30"/>
      <c r="E24" s="148"/>
      <c r="F24" s="144"/>
      <c r="G24" s="33"/>
      <c r="H24" s="39"/>
    </row>
    <row r="25" spans="1:8" ht="15.75" thickBot="1" x14ac:dyDescent="0.3">
      <c r="A25" s="152" t="s">
        <v>105</v>
      </c>
      <c r="B25" s="153"/>
      <c r="C25" s="154"/>
      <c r="D25" s="155"/>
      <c r="E25" s="156"/>
      <c r="F25" s="157" t="s">
        <v>365</v>
      </c>
      <c r="G25" s="158">
        <f>SUM(G20:G24)</f>
        <v>0</v>
      </c>
      <c r="H25" s="430"/>
    </row>
    <row r="26" spans="1:8" ht="23.1" customHeight="1" thickBot="1" x14ac:dyDescent="0.3">
      <c r="A26" s="80"/>
      <c r="B26" s="122"/>
      <c r="C26" s="123"/>
      <c r="D26" s="124"/>
      <c r="E26" s="164"/>
      <c r="F26" s="126"/>
      <c r="G26" s="127"/>
      <c r="H26" s="127"/>
    </row>
    <row r="27" spans="1:8" x14ac:dyDescent="0.25">
      <c r="A27" s="128" t="s">
        <v>98</v>
      </c>
      <c r="B27" s="129">
        <v>3</v>
      </c>
      <c r="C27" s="130" t="s">
        <v>121</v>
      </c>
      <c r="D27" s="131"/>
      <c r="E27" s="132"/>
      <c r="F27" s="133"/>
      <c r="G27" s="134">
        <f>SUM(G28:G38)</f>
        <v>0</v>
      </c>
      <c r="H27" s="428"/>
    </row>
    <row r="28" spans="1:8" x14ac:dyDescent="0.25">
      <c r="A28" s="27" t="s">
        <v>122</v>
      </c>
      <c r="B28" s="28" t="s">
        <v>123</v>
      </c>
      <c r="C28" s="29" t="s">
        <v>124</v>
      </c>
      <c r="D28" s="30" t="s">
        <v>125</v>
      </c>
      <c r="E28" s="620">
        <v>5089.999968180281</v>
      </c>
      <c r="F28" s="144"/>
      <c r="G28" s="145"/>
      <c r="H28" s="429"/>
    </row>
    <row r="29" spans="1:8" x14ac:dyDescent="0.25">
      <c r="A29" s="27" t="s">
        <v>126</v>
      </c>
      <c r="B29" s="28" t="s">
        <v>127</v>
      </c>
      <c r="C29" s="29" t="s">
        <v>128</v>
      </c>
      <c r="D29" s="30" t="s">
        <v>125</v>
      </c>
      <c r="E29" s="143">
        <v>2411.8352371743613</v>
      </c>
      <c r="F29" s="144"/>
      <c r="G29" s="145"/>
      <c r="H29" s="429"/>
    </row>
    <row r="30" spans="1:8" x14ac:dyDescent="0.25">
      <c r="A30" s="27"/>
      <c r="B30" s="28" t="s">
        <v>129</v>
      </c>
      <c r="C30" s="29" t="s">
        <v>130</v>
      </c>
      <c r="D30" s="30" t="s">
        <v>125</v>
      </c>
      <c r="E30" s="143">
        <v>1851.8888197386159</v>
      </c>
      <c r="F30" s="144"/>
      <c r="G30" s="145"/>
      <c r="H30" s="429"/>
    </row>
    <row r="31" spans="1:8" x14ac:dyDescent="0.25">
      <c r="A31" s="27" t="s">
        <v>131</v>
      </c>
      <c r="B31" s="28" t="s">
        <v>132</v>
      </c>
      <c r="C31" s="29" t="s">
        <v>133</v>
      </c>
      <c r="D31" s="30" t="s">
        <v>125</v>
      </c>
      <c r="E31" s="143">
        <v>5020.307559738616</v>
      </c>
      <c r="F31" s="144"/>
      <c r="G31" s="145"/>
      <c r="H31" s="429"/>
    </row>
    <row r="32" spans="1:8" ht="19.149999999999999" customHeight="1" x14ac:dyDescent="0.25">
      <c r="A32" s="27" t="s">
        <v>134</v>
      </c>
      <c r="B32" s="28" t="s">
        <v>135</v>
      </c>
      <c r="C32" s="29" t="s">
        <v>136</v>
      </c>
      <c r="D32" s="30" t="s">
        <v>125</v>
      </c>
      <c r="E32" s="143">
        <v>819.99090000000001</v>
      </c>
      <c r="F32" s="144"/>
      <c r="G32" s="145"/>
      <c r="H32" s="429"/>
    </row>
    <row r="33" spans="1:8" x14ac:dyDescent="0.25">
      <c r="A33" s="27" t="s">
        <v>137</v>
      </c>
      <c r="B33" s="28" t="s">
        <v>138</v>
      </c>
      <c r="C33" s="29" t="s">
        <v>139</v>
      </c>
      <c r="D33" s="30" t="s">
        <v>125</v>
      </c>
      <c r="E33" s="143">
        <v>1534.9818</v>
      </c>
      <c r="F33" s="144"/>
      <c r="G33" s="145"/>
      <c r="H33" s="429"/>
    </row>
    <row r="34" spans="1:8" x14ac:dyDescent="0.25">
      <c r="A34" s="27" t="s">
        <v>140</v>
      </c>
      <c r="B34" s="28" t="s">
        <v>141</v>
      </c>
      <c r="C34" s="29" t="str">
        <f>+C22</f>
        <v>CARGUE, RETIRO Y DISPOSICIÓN DE  ESCOMBROS A MAQUINA</v>
      </c>
      <c r="D34" s="30" t="str">
        <f>+D22</f>
        <v>M3-Km</v>
      </c>
      <c r="E34" s="143">
        <v>27936.332999999999</v>
      </c>
      <c r="F34" s="144"/>
      <c r="G34" s="145"/>
      <c r="H34" s="429"/>
    </row>
    <row r="35" spans="1:8" x14ac:dyDescent="0.25">
      <c r="A35" s="27" t="s">
        <v>142</v>
      </c>
      <c r="B35" s="28" t="s">
        <v>143</v>
      </c>
      <c r="C35" s="29" t="s">
        <v>144</v>
      </c>
      <c r="D35" s="30" t="s">
        <v>125</v>
      </c>
      <c r="E35" s="143">
        <v>546.660616</v>
      </c>
      <c r="F35" s="144"/>
      <c r="G35" s="145"/>
      <c r="H35" s="429"/>
    </row>
    <row r="36" spans="1:8" x14ac:dyDescent="0.25">
      <c r="A36" s="27" t="s">
        <v>145</v>
      </c>
      <c r="B36" s="28" t="s">
        <v>146</v>
      </c>
      <c r="C36" s="29" t="s">
        <v>147</v>
      </c>
      <c r="D36" s="30" t="s">
        <v>104</v>
      </c>
      <c r="E36" s="143">
        <v>1420</v>
      </c>
      <c r="F36" s="144"/>
      <c r="G36" s="145"/>
      <c r="H36" s="429"/>
    </row>
    <row r="37" spans="1:8" x14ac:dyDescent="0.25">
      <c r="A37" s="167"/>
      <c r="B37" s="28" t="s">
        <v>148</v>
      </c>
      <c r="C37" s="29" t="s">
        <v>149</v>
      </c>
      <c r="D37" s="30" t="s">
        <v>104</v>
      </c>
      <c r="E37" s="143">
        <v>24</v>
      </c>
      <c r="F37" s="144"/>
      <c r="G37" s="145"/>
      <c r="H37" s="429"/>
    </row>
    <row r="38" spans="1:8" x14ac:dyDescent="0.25">
      <c r="A38" s="146"/>
      <c r="B38" s="147"/>
      <c r="C38" s="29"/>
      <c r="D38" s="30"/>
      <c r="E38" s="148"/>
      <c r="F38" s="144"/>
      <c r="G38" s="33"/>
      <c r="H38" s="39"/>
    </row>
    <row r="39" spans="1:8" ht="15.75" thickBot="1" x14ac:dyDescent="0.3">
      <c r="A39" s="152" t="s">
        <v>105</v>
      </c>
      <c r="B39" s="153"/>
      <c r="C39" s="154"/>
      <c r="D39" s="155"/>
      <c r="E39" s="156"/>
      <c r="F39" s="157" t="s">
        <v>366</v>
      </c>
      <c r="G39" s="169">
        <f>SUM(G28:G38)</f>
        <v>0</v>
      </c>
      <c r="H39" s="431"/>
    </row>
    <row r="40" spans="1:8" ht="23.1" customHeight="1" thickBot="1" x14ac:dyDescent="0.3">
      <c r="A40" s="80"/>
      <c r="B40" s="122"/>
      <c r="C40" s="123"/>
      <c r="D40" s="124"/>
      <c r="E40" s="164"/>
      <c r="F40" s="126"/>
      <c r="G40" s="127"/>
      <c r="H40" s="127"/>
    </row>
    <row r="41" spans="1:8" x14ac:dyDescent="0.25">
      <c r="A41" s="128" t="s">
        <v>98</v>
      </c>
      <c r="B41" s="129">
        <v>4</v>
      </c>
      <c r="C41" s="130" t="s">
        <v>150</v>
      </c>
      <c r="D41" s="131"/>
      <c r="E41" s="132"/>
      <c r="F41" s="133"/>
      <c r="G41" s="142">
        <f>SUM(G42:G48)</f>
        <v>0</v>
      </c>
      <c r="H41" s="432"/>
    </row>
    <row r="42" spans="1:8" x14ac:dyDescent="0.25">
      <c r="A42" s="27" t="s">
        <v>151</v>
      </c>
      <c r="B42" s="28" t="s">
        <v>152</v>
      </c>
      <c r="C42" s="29" t="s">
        <v>153</v>
      </c>
      <c r="D42" s="30" t="s">
        <v>90</v>
      </c>
      <c r="E42" s="143">
        <v>15</v>
      </c>
      <c r="F42" s="144"/>
      <c r="G42" s="145"/>
      <c r="H42" s="429"/>
    </row>
    <row r="43" spans="1:8" x14ac:dyDescent="0.25">
      <c r="A43" s="27" t="s">
        <v>154</v>
      </c>
      <c r="B43" s="28" t="s">
        <v>155</v>
      </c>
      <c r="C43" s="29" t="s">
        <v>156</v>
      </c>
      <c r="D43" s="30" t="s">
        <v>90</v>
      </c>
      <c r="E43" s="143">
        <v>1</v>
      </c>
      <c r="F43" s="144"/>
      <c r="G43" s="145"/>
      <c r="H43" s="429"/>
    </row>
    <row r="44" spans="1:8" x14ac:dyDescent="0.25">
      <c r="A44" s="170" t="s">
        <v>157</v>
      </c>
      <c r="B44" s="28" t="s">
        <v>158</v>
      </c>
      <c r="C44" s="29" t="s">
        <v>159</v>
      </c>
      <c r="D44" s="30" t="s">
        <v>104</v>
      </c>
      <c r="E44" s="143">
        <v>246</v>
      </c>
      <c r="F44" s="144"/>
      <c r="G44" s="145"/>
      <c r="H44" s="429"/>
    </row>
    <row r="45" spans="1:8" x14ac:dyDescent="0.25">
      <c r="A45" s="170" t="s">
        <v>160</v>
      </c>
      <c r="B45" s="28" t="s">
        <v>161</v>
      </c>
      <c r="C45" s="29" t="s">
        <v>162</v>
      </c>
      <c r="D45" s="30" t="s">
        <v>104</v>
      </c>
      <c r="E45" s="143">
        <v>2800</v>
      </c>
      <c r="F45" s="144"/>
      <c r="G45" s="145"/>
      <c r="H45" s="429"/>
    </row>
    <row r="46" spans="1:8" x14ac:dyDescent="0.25">
      <c r="A46" s="170" t="s">
        <v>163</v>
      </c>
      <c r="B46" s="28" t="s">
        <v>164</v>
      </c>
      <c r="C46" s="29" t="s">
        <v>165</v>
      </c>
      <c r="D46" s="30" t="s">
        <v>104</v>
      </c>
      <c r="E46" s="143">
        <v>1720.5801200000001</v>
      </c>
      <c r="F46" s="144"/>
      <c r="G46" s="145"/>
      <c r="H46" s="429"/>
    </row>
    <row r="47" spans="1:8" ht="57" customHeight="1" x14ac:dyDescent="0.25">
      <c r="A47" s="171"/>
      <c r="B47" s="172" t="s">
        <v>166</v>
      </c>
      <c r="C47" s="173" t="str">
        <f>+'[3]APUS '!C780</f>
        <v>INSTALACIÓN Y PUESTA EN MARCHA DE MACROMEDIDOR 8" FULL BORE, BRIDADO ANSI 150, PROTOCOLO HART ERROR MÁXIMO 0.2%, TOTALIZADORES INDEPENDIENTE, IP68, 24 VDC, AUTO DIAGNÓSTICO Y CALIBRACIÓN HEARBEAT</v>
      </c>
      <c r="D47" s="174" t="s">
        <v>90</v>
      </c>
      <c r="E47" s="175">
        <v>1</v>
      </c>
      <c r="F47" s="176"/>
      <c r="G47" s="145"/>
      <c r="H47" s="433"/>
    </row>
    <row r="48" spans="1:8" x14ac:dyDescent="0.25">
      <c r="A48" s="146"/>
      <c r="B48" s="147"/>
      <c r="C48" s="29"/>
      <c r="D48" s="30"/>
      <c r="E48" s="148"/>
      <c r="F48" s="144"/>
      <c r="G48" s="33"/>
      <c r="H48" s="39"/>
    </row>
    <row r="49" spans="1:8" ht="15.75" thickBot="1" x14ac:dyDescent="0.3">
      <c r="A49" s="152" t="s">
        <v>105</v>
      </c>
      <c r="B49" s="153"/>
      <c r="C49" s="154"/>
      <c r="D49" s="155"/>
      <c r="E49" s="156"/>
      <c r="F49" s="157" t="s">
        <v>367</v>
      </c>
      <c r="G49" s="169">
        <f>SUM(G42:G48)</f>
        <v>0</v>
      </c>
      <c r="H49" s="431"/>
    </row>
    <row r="50" spans="1:8" ht="23.1" customHeight="1" thickBot="1" x14ac:dyDescent="0.3">
      <c r="A50" s="80"/>
      <c r="B50" s="122"/>
      <c r="C50" s="123"/>
      <c r="D50" s="124"/>
      <c r="E50" s="164"/>
      <c r="F50" s="126"/>
      <c r="G50" s="127"/>
      <c r="H50" s="127"/>
    </row>
    <row r="51" spans="1:8" x14ac:dyDescent="0.25">
      <c r="A51" s="128" t="s">
        <v>98</v>
      </c>
      <c r="B51" s="129">
        <v>5</v>
      </c>
      <c r="C51" s="130" t="s">
        <v>167</v>
      </c>
      <c r="D51" s="131"/>
      <c r="E51" s="132"/>
      <c r="F51" s="133"/>
      <c r="G51" s="134">
        <f>SUM(G52:G93)</f>
        <v>0</v>
      </c>
      <c r="H51" s="428"/>
    </row>
    <row r="52" spans="1:8" x14ac:dyDescent="0.25">
      <c r="A52" s="178"/>
      <c r="B52" s="28" t="s">
        <v>168</v>
      </c>
      <c r="C52" s="29" t="s">
        <v>169</v>
      </c>
      <c r="D52" s="30" t="s">
        <v>90</v>
      </c>
      <c r="E52" s="143">
        <v>13</v>
      </c>
      <c r="F52" s="144"/>
      <c r="G52" s="145"/>
      <c r="H52" s="429"/>
    </row>
    <row r="53" spans="1:8" x14ac:dyDescent="0.25">
      <c r="A53" s="178"/>
      <c r="B53" s="28" t="s">
        <v>170</v>
      </c>
      <c r="C53" s="29" t="s">
        <v>171</v>
      </c>
      <c r="D53" s="30" t="s">
        <v>90</v>
      </c>
      <c r="E53" s="143">
        <v>2</v>
      </c>
      <c r="F53" s="144"/>
      <c r="G53" s="145"/>
      <c r="H53" s="429"/>
    </row>
    <row r="54" spans="1:8" x14ac:dyDescent="0.25">
      <c r="A54" s="178"/>
      <c r="B54" s="28" t="s">
        <v>172</v>
      </c>
      <c r="C54" s="29" t="s">
        <v>173</v>
      </c>
      <c r="D54" s="30" t="s">
        <v>90</v>
      </c>
      <c r="E54" s="143">
        <v>9</v>
      </c>
      <c r="F54" s="144"/>
      <c r="G54" s="145"/>
      <c r="H54" s="429"/>
    </row>
    <row r="55" spans="1:8" x14ac:dyDescent="0.25">
      <c r="A55" s="27" t="s">
        <v>174</v>
      </c>
      <c r="B55" s="28" t="s">
        <v>175</v>
      </c>
      <c r="C55" s="29" t="s">
        <v>176</v>
      </c>
      <c r="D55" s="30" t="s">
        <v>90</v>
      </c>
      <c r="E55" s="143">
        <v>2</v>
      </c>
      <c r="F55" s="144"/>
      <c r="G55" s="145"/>
      <c r="H55" s="429"/>
    </row>
    <row r="56" spans="1:8" x14ac:dyDescent="0.25">
      <c r="A56" s="27" t="s">
        <v>177</v>
      </c>
      <c r="B56" s="28" t="s">
        <v>178</v>
      </c>
      <c r="C56" s="29" t="s">
        <v>179</v>
      </c>
      <c r="D56" s="30" t="s">
        <v>90</v>
      </c>
      <c r="E56" s="143">
        <v>4</v>
      </c>
      <c r="F56" s="144"/>
      <c r="G56" s="145"/>
      <c r="H56" s="429"/>
    </row>
    <row r="57" spans="1:8" x14ac:dyDescent="0.25">
      <c r="A57" s="27" t="s">
        <v>180</v>
      </c>
      <c r="B57" s="28" t="s">
        <v>181</v>
      </c>
      <c r="C57" s="29" t="s">
        <v>182</v>
      </c>
      <c r="D57" s="30" t="s">
        <v>90</v>
      </c>
      <c r="E57" s="143">
        <v>2</v>
      </c>
      <c r="F57" s="144"/>
      <c r="G57" s="145"/>
      <c r="H57" s="429"/>
    </row>
    <row r="58" spans="1:8" x14ac:dyDescent="0.25">
      <c r="A58" s="27" t="s">
        <v>183</v>
      </c>
      <c r="B58" s="28" t="s">
        <v>184</v>
      </c>
      <c r="C58" s="29" t="s">
        <v>185</v>
      </c>
      <c r="D58" s="30" t="s">
        <v>90</v>
      </c>
      <c r="E58" s="143">
        <v>2</v>
      </c>
      <c r="F58" s="144"/>
      <c r="G58" s="145"/>
      <c r="H58" s="429"/>
    </row>
    <row r="59" spans="1:8" x14ac:dyDescent="0.25">
      <c r="A59" s="27" t="s">
        <v>186</v>
      </c>
      <c r="B59" s="28" t="s">
        <v>187</v>
      </c>
      <c r="C59" s="29" t="s">
        <v>188</v>
      </c>
      <c r="D59" s="30" t="s">
        <v>90</v>
      </c>
      <c r="E59" s="143">
        <v>10</v>
      </c>
      <c r="F59" s="144"/>
      <c r="G59" s="145"/>
      <c r="H59" s="429"/>
    </row>
    <row r="60" spans="1:8" x14ac:dyDescent="0.25">
      <c r="A60" s="27" t="s">
        <v>189</v>
      </c>
      <c r="B60" s="28" t="s">
        <v>190</v>
      </c>
      <c r="C60" s="29" t="s">
        <v>191</v>
      </c>
      <c r="D60" s="30" t="s">
        <v>90</v>
      </c>
      <c r="E60" s="143">
        <v>13</v>
      </c>
      <c r="F60" s="144"/>
      <c r="G60" s="145"/>
      <c r="H60" s="429"/>
    </row>
    <row r="61" spans="1:8" x14ac:dyDescent="0.25">
      <c r="A61" s="27" t="s">
        <v>192</v>
      </c>
      <c r="B61" s="28" t="s">
        <v>193</v>
      </c>
      <c r="C61" s="29" t="s">
        <v>194</v>
      </c>
      <c r="D61" s="30" t="s">
        <v>90</v>
      </c>
      <c r="E61" s="143">
        <v>22</v>
      </c>
      <c r="F61" s="144"/>
      <c r="G61" s="145"/>
      <c r="H61" s="429"/>
    </row>
    <row r="62" spans="1:8" x14ac:dyDescent="0.25">
      <c r="A62" s="27" t="s">
        <v>195</v>
      </c>
      <c r="B62" s="28" t="s">
        <v>196</v>
      </c>
      <c r="C62" s="29" t="s">
        <v>197</v>
      </c>
      <c r="D62" s="30" t="s">
        <v>90</v>
      </c>
      <c r="E62" s="143">
        <v>23</v>
      </c>
      <c r="F62" s="144"/>
      <c r="G62" s="145"/>
      <c r="H62" s="429"/>
    </row>
    <row r="63" spans="1:8" x14ac:dyDescent="0.25">
      <c r="A63" s="27" t="s">
        <v>198</v>
      </c>
      <c r="B63" s="28" t="s">
        <v>199</v>
      </c>
      <c r="C63" s="29" t="s">
        <v>200</v>
      </c>
      <c r="D63" s="30" t="s">
        <v>90</v>
      </c>
      <c r="E63" s="143">
        <v>31</v>
      </c>
      <c r="F63" s="144"/>
      <c r="G63" s="145"/>
      <c r="H63" s="429"/>
    </row>
    <row r="64" spans="1:8" x14ac:dyDescent="0.25">
      <c r="A64" s="27" t="s">
        <v>201</v>
      </c>
      <c r="B64" s="28" t="s">
        <v>202</v>
      </c>
      <c r="C64" s="29" t="s">
        <v>203</v>
      </c>
      <c r="D64" s="30" t="s">
        <v>90</v>
      </c>
      <c r="E64" s="143">
        <v>11</v>
      </c>
      <c r="F64" s="144"/>
      <c r="G64" s="145"/>
      <c r="H64" s="429"/>
    </row>
    <row r="65" spans="1:8" x14ac:dyDescent="0.25">
      <c r="A65" s="27" t="s">
        <v>204</v>
      </c>
      <c r="B65" s="28" t="s">
        <v>205</v>
      </c>
      <c r="C65" s="29" t="s">
        <v>206</v>
      </c>
      <c r="D65" s="30" t="s">
        <v>90</v>
      </c>
      <c r="E65" s="143">
        <v>1</v>
      </c>
      <c r="F65" s="144"/>
      <c r="G65" s="145"/>
      <c r="H65" s="429"/>
    </row>
    <row r="66" spans="1:8" x14ac:dyDescent="0.25">
      <c r="A66" s="27" t="s">
        <v>207</v>
      </c>
      <c r="B66" s="28" t="s">
        <v>208</v>
      </c>
      <c r="C66" s="29" t="s">
        <v>209</v>
      </c>
      <c r="D66" s="30" t="s">
        <v>90</v>
      </c>
      <c r="E66" s="143">
        <v>27</v>
      </c>
      <c r="F66" s="144"/>
      <c r="G66" s="145"/>
      <c r="H66" s="429"/>
    </row>
    <row r="67" spans="1:8" x14ac:dyDescent="0.25">
      <c r="A67" s="27" t="s">
        <v>210</v>
      </c>
      <c r="B67" s="28" t="s">
        <v>211</v>
      </c>
      <c r="C67" s="29" t="s">
        <v>212</v>
      </c>
      <c r="D67" s="30" t="s">
        <v>90</v>
      </c>
      <c r="E67" s="143">
        <v>22</v>
      </c>
      <c r="F67" s="144"/>
      <c r="G67" s="145"/>
      <c r="H67" s="429"/>
    </row>
    <row r="68" spans="1:8" x14ac:dyDescent="0.25">
      <c r="A68" s="27" t="s">
        <v>213</v>
      </c>
      <c r="B68" s="28" t="s">
        <v>214</v>
      </c>
      <c r="C68" s="29" t="s">
        <v>215</v>
      </c>
      <c r="D68" s="30" t="s">
        <v>90</v>
      </c>
      <c r="E68" s="143">
        <v>2</v>
      </c>
      <c r="F68" s="144"/>
      <c r="G68" s="145"/>
      <c r="H68" s="429"/>
    </row>
    <row r="69" spans="1:8" x14ac:dyDescent="0.25">
      <c r="A69" s="27" t="s">
        <v>216</v>
      </c>
      <c r="B69" s="28" t="s">
        <v>217</v>
      </c>
      <c r="C69" s="29" t="s">
        <v>218</v>
      </c>
      <c r="D69" s="30" t="s">
        <v>90</v>
      </c>
      <c r="E69" s="143">
        <v>67</v>
      </c>
      <c r="F69" s="144"/>
      <c r="G69" s="145"/>
      <c r="H69" s="429"/>
    </row>
    <row r="70" spans="1:8" x14ac:dyDescent="0.25">
      <c r="A70" s="27" t="s">
        <v>219</v>
      </c>
      <c r="B70" s="28" t="s">
        <v>220</v>
      </c>
      <c r="C70" s="29" t="s">
        <v>221</v>
      </c>
      <c r="D70" s="30" t="s">
        <v>90</v>
      </c>
      <c r="E70" s="143">
        <v>5</v>
      </c>
      <c r="F70" s="144"/>
      <c r="G70" s="145"/>
      <c r="H70" s="429"/>
    </row>
    <row r="71" spans="1:8" x14ac:dyDescent="0.25">
      <c r="A71" s="27" t="s">
        <v>222</v>
      </c>
      <c r="B71" s="28" t="s">
        <v>223</v>
      </c>
      <c r="C71" s="29" t="s">
        <v>224</v>
      </c>
      <c r="D71" s="30" t="s">
        <v>90</v>
      </c>
      <c r="E71" s="143">
        <v>12</v>
      </c>
      <c r="F71" s="144"/>
      <c r="G71" s="145"/>
      <c r="H71" s="429"/>
    </row>
    <row r="72" spans="1:8" x14ac:dyDescent="0.25">
      <c r="A72" s="27" t="s">
        <v>225</v>
      </c>
      <c r="B72" s="28" t="s">
        <v>226</v>
      </c>
      <c r="C72" s="29" t="s">
        <v>227</v>
      </c>
      <c r="D72" s="30" t="s">
        <v>90</v>
      </c>
      <c r="E72" s="143">
        <v>13</v>
      </c>
      <c r="F72" s="144"/>
      <c r="G72" s="145"/>
      <c r="H72" s="429"/>
    </row>
    <row r="73" spans="1:8" x14ac:dyDescent="0.25">
      <c r="A73" s="27" t="s">
        <v>228</v>
      </c>
      <c r="B73" s="28" t="s">
        <v>229</v>
      </c>
      <c r="C73" s="29" t="s">
        <v>230</v>
      </c>
      <c r="D73" s="30" t="s">
        <v>90</v>
      </c>
      <c r="E73" s="143">
        <v>5</v>
      </c>
      <c r="F73" s="144"/>
      <c r="G73" s="145"/>
      <c r="H73" s="429"/>
    </row>
    <row r="74" spans="1:8" x14ac:dyDescent="0.25">
      <c r="A74" s="27" t="s">
        <v>231</v>
      </c>
      <c r="B74" s="28" t="s">
        <v>232</v>
      </c>
      <c r="C74" s="29" t="s">
        <v>233</v>
      </c>
      <c r="D74" s="30" t="s">
        <v>90</v>
      </c>
      <c r="E74" s="143">
        <v>2</v>
      </c>
      <c r="F74" s="144"/>
      <c r="G74" s="145"/>
      <c r="H74" s="429"/>
    </row>
    <row r="75" spans="1:8" x14ac:dyDescent="0.25">
      <c r="A75" s="27" t="s">
        <v>234</v>
      </c>
      <c r="B75" s="28" t="s">
        <v>235</v>
      </c>
      <c r="C75" s="29" t="s">
        <v>236</v>
      </c>
      <c r="D75" s="30" t="s">
        <v>90</v>
      </c>
      <c r="E75" s="143">
        <v>9</v>
      </c>
      <c r="F75" s="144"/>
      <c r="G75" s="145"/>
      <c r="H75" s="429"/>
    </row>
    <row r="76" spans="1:8" x14ac:dyDescent="0.25">
      <c r="A76" s="170" t="s">
        <v>237</v>
      </c>
      <c r="B76" s="28" t="s">
        <v>238</v>
      </c>
      <c r="C76" s="29" t="s">
        <v>179</v>
      </c>
      <c r="D76" s="30" t="s">
        <v>90</v>
      </c>
      <c r="E76" s="143">
        <v>4</v>
      </c>
      <c r="F76" s="144"/>
      <c r="G76" s="145"/>
      <c r="H76" s="429"/>
    </row>
    <row r="77" spans="1:8" x14ac:dyDescent="0.25">
      <c r="A77" s="27" t="s">
        <v>239</v>
      </c>
      <c r="B77" s="28" t="s">
        <v>240</v>
      </c>
      <c r="C77" s="29" t="s">
        <v>241</v>
      </c>
      <c r="D77" s="30" t="s">
        <v>90</v>
      </c>
      <c r="E77" s="143">
        <v>2</v>
      </c>
      <c r="F77" s="144"/>
      <c r="G77" s="145"/>
      <c r="H77" s="429"/>
    </row>
    <row r="78" spans="1:8" x14ac:dyDescent="0.25">
      <c r="A78" s="27" t="s">
        <v>242</v>
      </c>
      <c r="B78" s="28" t="s">
        <v>243</v>
      </c>
      <c r="C78" s="29" t="s">
        <v>244</v>
      </c>
      <c r="D78" s="30" t="s">
        <v>90</v>
      </c>
      <c r="E78" s="143">
        <v>1</v>
      </c>
      <c r="F78" s="144"/>
      <c r="G78" s="145"/>
      <c r="H78" s="429"/>
    </row>
    <row r="79" spans="1:8" x14ac:dyDescent="0.25">
      <c r="A79" s="27" t="s">
        <v>245</v>
      </c>
      <c r="B79" s="28" t="s">
        <v>246</v>
      </c>
      <c r="C79" s="29" t="s">
        <v>247</v>
      </c>
      <c r="D79" s="30" t="s">
        <v>90</v>
      </c>
      <c r="E79" s="143">
        <v>6</v>
      </c>
      <c r="F79" s="144"/>
      <c r="G79" s="145"/>
      <c r="H79" s="429"/>
    </row>
    <row r="80" spans="1:8" x14ac:dyDescent="0.25">
      <c r="A80" s="27" t="s">
        <v>248</v>
      </c>
      <c r="B80" s="28" t="s">
        <v>249</v>
      </c>
      <c r="C80" s="29" t="s">
        <v>250</v>
      </c>
      <c r="D80" s="30" t="s">
        <v>90</v>
      </c>
      <c r="E80" s="143">
        <v>5</v>
      </c>
      <c r="F80" s="144"/>
      <c r="G80" s="145"/>
      <c r="H80" s="429"/>
    </row>
    <row r="81" spans="1:8" x14ac:dyDescent="0.25">
      <c r="A81" s="170" t="s">
        <v>251</v>
      </c>
      <c r="B81" s="28" t="s">
        <v>252</v>
      </c>
      <c r="C81" s="29" t="s">
        <v>215</v>
      </c>
      <c r="D81" s="30" t="s">
        <v>90</v>
      </c>
      <c r="E81" s="143">
        <v>1</v>
      </c>
      <c r="F81" s="144"/>
      <c r="G81" s="145"/>
      <c r="H81" s="429"/>
    </row>
    <row r="82" spans="1:8" x14ac:dyDescent="0.25">
      <c r="A82" s="27" t="s">
        <v>253</v>
      </c>
      <c r="B82" s="28" t="s">
        <v>254</v>
      </c>
      <c r="C82" s="29" t="s">
        <v>255</v>
      </c>
      <c r="D82" s="30" t="s">
        <v>90</v>
      </c>
      <c r="E82" s="143">
        <v>2</v>
      </c>
      <c r="F82" s="144"/>
      <c r="G82" s="145"/>
      <c r="H82" s="429"/>
    </row>
    <row r="83" spans="1:8" x14ac:dyDescent="0.25">
      <c r="A83" s="27" t="s">
        <v>256</v>
      </c>
      <c r="B83" s="28" t="s">
        <v>257</v>
      </c>
      <c r="C83" s="29" t="s">
        <v>258</v>
      </c>
      <c r="D83" s="30" t="s">
        <v>90</v>
      </c>
      <c r="E83" s="143">
        <v>36</v>
      </c>
      <c r="F83" s="144"/>
      <c r="G83" s="145"/>
      <c r="H83" s="429"/>
    </row>
    <row r="84" spans="1:8" x14ac:dyDescent="0.25">
      <c r="A84" s="27" t="s">
        <v>259</v>
      </c>
      <c r="B84" s="28" t="s">
        <v>260</v>
      </c>
      <c r="C84" s="29" t="s">
        <v>261</v>
      </c>
      <c r="D84" s="30" t="s">
        <v>90</v>
      </c>
      <c r="E84" s="143">
        <v>7</v>
      </c>
      <c r="F84" s="144"/>
      <c r="G84" s="145"/>
      <c r="H84" s="429"/>
    </row>
    <row r="85" spans="1:8" x14ac:dyDescent="0.25">
      <c r="A85" s="27" t="s">
        <v>262</v>
      </c>
      <c r="B85" s="28" t="s">
        <v>263</v>
      </c>
      <c r="C85" s="29" t="s">
        <v>264</v>
      </c>
      <c r="D85" s="30" t="s">
        <v>90</v>
      </c>
      <c r="E85" s="143">
        <v>34</v>
      </c>
      <c r="F85" s="144"/>
      <c r="G85" s="145"/>
      <c r="H85" s="429"/>
    </row>
    <row r="86" spans="1:8" x14ac:dyDescent="0.25">
      <c r="A86" s="27" t="s">
        <v>265</v>
      </c>
      <c r="B86" s="28" t="s">
        <v>266</v>
      </c>
      <c r="C86" s="29" t="s">
        <v>267</v>
      </c>
      <c r="D86" s="30" t="s">
        <v>90</v>
      </c>
      <c r="E86" s="143">
        <v>12</v>
      </c>
      <c r="F86" s="144"/>
      <c r="G86" s="145"/>
      <c r="H86" s="429"/>
    </row>
    <row r="87" spans="1:8" x14ac:dyDescent="0.25">
      <c r="A87" s="27" t="s">
        <v>268</v>
      </c>
      <c r="B87" s="28" t="s">
        <v>269</v>
      </c>
      <c r="C87" s="29" t="s">
        <v>270</v>
      </c>
      <c r="D87" s="30" t="s">
        <v>90</v>
      </c>
      <c r="E87" s="143">
        <v>3</v>
      </c>
      <c r="F87" s="144"/>
      <c r="G87" s="145"/>
      <c r="H87" s="429"/>
    </row>
    <row r="88" spans="1:8" x14ac:dyDescent="0.25">
      <c r="A88" s="27" t="s">
        <v>271</v>
      </c>
      <c r="B88" s="28" t="s">
        <v>272</v>
      </c>
      <c r="C88" s="29" t="s">
        <v>273</v>
      </c>
      <c r="D88" s="30" t="s">
        <v>90</v>
      </c>
      <c r="E88" s="143">
        <v>5</v>
      </c>
      <c r="F88" s="144"/>
      <c r="G88" s="145"/>
      <c r="H88" s="429"/>
    </row>
    <row r="89" spans="1:8" x14ac:dyDescent="0.25">
      <c r="A89" s="27" t="s">
        <v>274</v>
      </c>
      <c r="B89" s="28" t="s">
        <v>275</v>
      </c>
      <c r="C89" s="29" t="s">
        <v>276</v>
      </c>
      <c r="D89" s="30" t="s">
        <v>90</v>
      </c>
      <c r="E89" s="143">
        <v>3</v>
      </c>
      <c r="F89" s="144"/>
      <c r="G89" s="145"/>
      <c r="H89" s="429"/>
    </row>
    <row r="90" spans="1:8" x14ac:dyDescent="0.25">
      <c r="A90" s="27" t="s">
        <v>277</v>
      </c>
      <c r="B90" s="28" t="s">
        <v>278</v>
      </c>
      <c r="C90" s="29" t="s">
        <v>279</v>
      </c>
      <c r="D90" s="30" t="s">
        <v>90</v>
      </c>
      <c r="E90" s="143">
        <v>2</v>
      </c>
      <c r="F90" s="144"/>
      <c r="G90" s="145"/>
      <c r="H90" s="429"/>
    </row>
    <row r="91" spans="1:8" x14ac:dyDescent="0.25">
      <c r="A91" s="27" t="s">
        <v>280</v>
      </c>
      <c r="B91" s="28" t="s">
        <v>281</v>
      </c>
      <c r="C91" s="29" t="s">
        <v>282</v>
      </c>
      <c r="D91" s="30" t="s">
        <v>90</v>
      </c>
      <c r="E91" s="143">
        <v>22</v>
      </c>
      <c r="F91" s="144"/>
      <c r="G91" s="145"/>
      <c r="H91" s="429"/>
    </row>
    <row r="92" spans="1:8" x14ac:dyDescent="0.25">
      <c r="A92" s="27" t="s">
        <v>283</v>
      </c>
      <c r="B92" s="28" t="s">
        <v>284</v>
      </c>
      <c r="C92" s="29" t="s">
        <v>285</v>
      </c>
      <c r="D92" s="30" t="s">
        <v>90</v>
      </c>
      <c r="E92" s="143">
        <v>13</v>
      </c>
      <c r="F92" s="144"/>
      <c r="G92" s="145"/>
      <c r="H92" s="429"/>
    </row>
    <row r="93" spans="1:8" x14ac:dyDescent="0.25">
      <c r="A93" s="146"/>
      <c r="B93" s="147"/>
      <c r="C93" s="29"/>
      <c r="D93" s="30"/>
      <c r="E93" s="148"/>
      <c r="F93" s="144"/>
      <c r="G93" s="33"/>
      <c r="H93" s="39"/>
    </row>
    <row r="94" spans="1:8" ht="15.75" thickBot="1" x14ac:dyDescent="0.3">
      <c r="A94" s="152" t="s">
        <v>105</v>
      </c>
      <c r="B94" s="153"/>
      <c r="C94" s="154"/>
      <c r="D94" s="155"/>
      <c r="E94" s="156"/>
      <c r="F94" s="157" t="s">
        <v>368</v>
      </c>
      <c r="G94" s="169">
        <f>SUM(G52:G93)</f>
        <v>0</v>
      </c>
      <c r="H94" s="431"/>
    </row>
    <row r="95" spans="1:8" ht="23.1" customHeight="1" thickBot="1" x14ac:dyDescent="0.3">
      <c r="A95" s="80"/>
      <c r="B95" s="122"/>
      <c r="C95" s="123"/>
      <c r="D95" s="124"/>
      <c r="E95" s="164"/>
      <c r="F95" s="126"/>
      <c r="G95" s="127"/>
      <c r="H95" s="127"/>
    </row>
    <row r="96" spans="1:8" x14ac:dyDescent="0.25">
      <c r="A96" s="128" t="s">
        <v>98</v>
      </c>
      <c r="B96" s="129">
        <v>6</v>
      </c>
      <c r="C96" s="130" t="s">
        <v>286</v>
      </c>
      <c r="D96" s="131"/>
      <c r="E96" s="132"/>
      <c r="F96" s="133"/>
      <c r="G96" s="134">
        <f>SUM(G97:G101)</f>
        <v>0</v>
      </c>
      <c r="H96" s="428"/>
    </row>
    <row r="97" spans="1:8" x14ac:dyDescent="0.25">
      <c r="A97" s="27" t="s">
        <v>287</v>
      </c>
      <c r="B97" s="28" t="s">
        <v>288</v>
      </c>
      <c r="C97" s="29" t="s">
        <v>289</v>
      </c>
      <c r="D97" s="30" t="s">
        <v>90</v>
      </c>
      <c r="E97" s="143">
        <v>250</v>
      </c>
      <c r="F97" s="144"/>
      <c r="G97" s="145"/>
      <c r="H97" s="429"/>
    </row>
    <row r="98" spans="1:8" x14ac:dyDescent="0.25">
      <c r="A98" s="27" t="s">
        <v>290</v>
      </c>
      <c r="B98" s="28" t="s">
        <v>291</v>
      </c>
      <c r="C98" s="29" t="s">
        <v>292</v>
      </c>
      <c r="D98" s="30" t="s">
        <v>90</v>
      </c>
      <c r="E98" s="143">
        <v>450</v>
      </c>
      <c r="F98" s="144"/>
      <c r="G98" s="145"/>
      <c r="H98" s="429"/>
    </row>
    <row r="99" spans="1:8" x14ac:dyDescent="0.25">
      <c r="A99" s="27" t="s">
        <v>293</v>
      </c>
      <c r="B99" s="28" t="s">
        <v>294</v>
      </c>
      <c r="C99" s="29" t="s">
        <v>295</v>
      </c>
      <c r="D99" s="30" t="s">
        <v>90</v>
      </c>
      <c r="E99" s="143">
        <v>10</v>
      </c>
      <c r="F99" s="144"/>
      <c r="G99" s="145"/>
      <c r="H99" s="429"/>
    </row>
    <row r="100" spans="1:8" x14ac:dyDescent="0.25">
      <c r="A100" s="27" t="s">
        <v>296</v>
      </c>
      <c r="B100" s="28" t="s">
        <v>297</v>
      </c>
      <c r="C100" s="29" t="s">
        <v>298</v>
      </c>
      <c r="D100" s="30" t="s">
        <v>90</v>
      </c>
      <c r="E100" s="143">
        <v>710</v>
      </c>
      <c r="F100" s="144"/>
      <c r="G100" s="145"/>
      <c r="H100" s="429"/>
    </row>
    <row r="101" spans="1:8" x14ac:dyDescent="0.25">
      <c r="A101" s="146"/>
      <c r="B101" s="147"/>
      <c r="C101" s="29"/>
      <c r="D101" s="30"/>
      <c r="E101" s="148"/>
      <c r="F101" s="144"/>
      <c r="G101" s="33"/>
      <c r="H101" s="39"/>
    </row>
    <row r="102" spans="1:8" ht="15.75" thickBot="1" x14ac:dyDescent="0.3">
      <c r="A102" s="152" t="s">
        <v>105</v>
      </c>
      <c r="B102" s="153"/>
      <c r="C102" s="154"/>
      <c r="D102" s="155"/>
      <c r="E102" s="156"/>
      <c r="F102" s="157" t="s">
        <v>369</v>
      </c>
      <c r="G102" s="169">
        <f>SUM(G97:G101)</f>
        <v>0</v>
      </c>
      <c r="H102" s="431"/>
    </row>
    <row r="103" spans="1:8" ht="23.1" customHeight="1" thickBot="1" x14ac:dyDescent="0.3">
      <c r="A103" s="80"/>
      <c r="B103" s="122"/>
      <c r="C103" s="123"/>
      <c r="D103" s="124"/>
      <c r="E103" s="164"/>
      <c r="F103" s="126"/>
      <c r="G103" s="127"/>
      <c r="H103" s="127"/>
    </row>
    <row r="104" spans="1:8" x14ac:dyDescent="0.25">
      <c r="A104" s="128" t="s">
        <v>98</v>
      </c>
      <c r="B104" s="129">
        <v>7</v>
      </c>
      <c r="C104" s="130" t="s">
        <v>299</v>
      </c>
      <c r="D104" s="131"/>
      <c r="E104" s="132"/>
      <c r="F104" s="133"/>
      <c r="G104" s="134">
        <f>SUM(G105:G112)</f>
        <v>0</v>
      </c>
      <c r="H104" s="428"/>
    </row>
    <row r="105" spans="1:8" x14ac:dyDescent="0.25">
      <c r="A105" s="187" t="s">
        <v>300</v>
      </c>
      <c r="B105" s="188"/>
      <c r="C105" s="189"/>
      <c r="D105" s="190"/>
      <c r="E105" s="191"/>
      <c r="F105" s="192"/>
      <c r="G105" s="193"/>
      <c r="H105" s="39"/>
    </row>
    <row r="106" spans="1:8" x14ac:dyDescent="0.25">
      <c r="A106" s="27" t="s">
        <v>301</v>
      </c>
      <c r="B106" s="28" t="s">
        <v>302</v>
      </c>
      <c r="C106" s="29" t="s">
        <v>303</v>
      </c>
      <c r="D106" s="30" t="s">
        <v>113</v>
      </c>
      <c r="E106" s="143">
        <v>4792</v>
      </c>
      <c r="F106" s="144"/>
      <c r="G106" s="145"/>
      <c r="H106" s="429"/>
    </row>
    <row r="107" spans="1:8" x14ac:dyDescent="0.25">
      <c r="A107" s="27" t="s">
        <v>304</v>
      </c>
      <c r="B107" s="28" t="s">
        <v>305</v>
      </c>
      <c r="C107" s="29" t="s">
        <v>306</v>
      </c>
      <c r="D107" s="30" t="s">
        <v>113</v>
      </c>
      <c r="E107" s="143">
        <v>923</v>
      </c>
      <c r="F107" s="144"/>
      <c r="G107" s="145"/>
      <c r="H107" s="429"/>
    </row>
    <row r="108" spans="1:8" x14ac:dyDescent="0.25">
      <c r="A108" s="27" t="s">
        <v>307</v>
      </c>
      <c r="B108" s="28" t="s">
        <v>308</v>
      </c>
      <c r="C108" s="29" t="s">
        <v>309</v>
      </c>
      <c r="D108" s="30" t="s">
        <v>125</v>
      </c>
      <c r="E108" s="143">
        <v>13</v>
      </c>
      <c r="F108" s="144"/>
      <c r="G108" s="145"/>
      <c r="H108" s="429"/>
    </row>
    <row r="109" spans="1:8" x14ac:dyDescent="0.25">
      <c r="A109" s="167"/>
      <c r="B109" s="28" t="s">
        <v>310</v>
      </c>
      <c r="C109" s="29" t="str">
        <f>+'[3]APUS '!C2369</f>
        <v xml:space="preserve">PILOTE  EN CONCRETO 3100 PSI </v>
      </c>
      <c r="D109" s="30" t="s">
        <v>125</v>
      </c>
      <c r="E109" s="143">
        <v>3.0159360000000008</v>
      </c>
      <c r="F109" s="144"/>
      <c r="G109" s="145"/>
      <c r="H109" s="429"/>
    </row>
    <row r="110" spans="1:8" x14ac:dyDescent="0.25">
      <c r="A110" s="167"/>
      <c r="B110" s="28" t="s">
        <v>311</v>
      </c>
      <c r="C110" s="29" t="str">
        <f>+'[3]APUS '!C2396</f>
        <v>PEDESTAL  EN CONCRETO 3100 PSI INC FOTMALETA</v>
      </c>
      <c r="D110" s="30" t="s">
        <v>125</v>
      </c>
      <c r="E110" s="143">
        <v>1.4629999999999999</v>
      </c>
      <c r="F110" s="144"/>
      <c r="G110" s="145"/>
      <c r="H110" s="429"/>
    </row>
    <row r="111" spans="1:8" x14ac:dyDescent="0.25">
      <c r="A111" s="146"/>
      <c r="B111" s="147">
        <v>7.6</v>
      </c>
      <c r="C111" s="29" t="s">
        <v>312</v>
      </c>
      <c r="D111" s="30" t="s">
        <v>313</v>
      </c>
      <c r="E111" s="143">
        <v>24</v>
      </c>
      <c r="F111" s="144"/>
      <c r="G111" s="145"/>
      <c r="H111" s="429"/>
    </row>
    <row r="112" spans="1:8" x14ac:dyDescent="0.25">
      <c r="A112" s="199"/>
      <c r="B112" s="147">
        <v>7.7</v>
      </c>
      <c r="C112" s="29" t="s">
        <v>314</v>
      </c>
      <c r="D112" s="30" t="s">
        <v>315</v>
      </c>
      <c r="E112" s="148">
        <v>512.003648</v>
      </c>
      <c r="F112" s="144"/>
      <c r="G112" s="145"/>
      <c r="H112" s="429"/>
    </row>
    <row r="113" spans="1:8" ht="15.75" thickBot="1" x14ac:dyDescent="0.3">
      <c r="A113" s="152" t="s">
        <v>105</v>
      </c>
      <c r="B113" s="153"/>
      <c r="C113" s="154"/>
      <c r="D113" s="155"/>
      <c r="E113" s="156"/>
      <c r="F113" s="157" t="s">
        <v>370</v>
      </c>
      <c r="G113" s="169">
        <f>SUM(G105:G112)</f>
        <v>0</v>
      </c>
      <c r="H113" s="431"/>
    </row>
    <row r="114" spans="1:8" ht="23.1" customHeight="1" thickBot="1" x14ac:dyDescent="0.3">
      <c r="A114" s="80"/>
      <c r="B114" s="122"/>
      <c r="C114" s="123"/>
      <c r="D114" s="124"/>
      <c r="E114" s="164"/>
      <c r="F114" s="126"/>
      <c r="G114" s="127"/>
      <c r="H114" s="127"/>
    </row>
    <row r="115" spans="1:8" x14ac:dyDescent="0.25">
      <c r="A115" s="128" t="s">
        <v>98</v>
      </c>
      <c r="B115" s="129">
        <v>8</v>
      </c>
      <c r="C115" s="130" t="s">
        <v>316</v>
      </c>
      <c r="D115" s="131"/>
      <c r="E115" s="132"/>
      <c r="F115" s="133"/>
      <c r="G115" s="134">
        <f>SUM(G116:G116)</f>
        <v>0</v>
      </c>
      <c r="H115" s="428"/>
    </row>
    <row r="116" spans="1:8" ht="25.5" x14ac:dyDescent="0.25">
      <c r="A116" s="27" t="s">
        <v>317</v>
      </c>
      <c r="B116" s="28" t="s">
        <v>318</v>
      </c>
      <c r="C116" s="29" t="s">
        <v>319</v>
      </c>
      <c r="D116" s="30" t="s">
        <v>320</v>
      </c>
      <c r="E116" s="143">
        <v>883.54888398000003</v>
      </c>
      <c r="F116" s="144"/>
      <c r="G116" s="145"/>
      <c r="H116" s="429"/>
    </row>
    <row r="117" spans="1:8" ht="15.75" thickBot="1" x14ac:dyDescent="0.3">
      <c r="A117" s="152" t="s">
        <v>105</v>
      </c>
      <c r="B117" s="153"/>
      <c r="C117" s="154"/>
      <c r="D117" s="155"/>
      <c r="E117" s="156"/>
      <c r="F117" s="157" t="s">
        <v>371</v>
      </c>
      <c r="G117" s="169">
        <f>SUM(G116:G116)</f>
        <v>0</v>
      </c>
      <c r="H117" s="431"/>
    </row>
    <row r="118" spans="1:8" x14ac:dyDescent="0.25">
      <c r="A118" s="80"/>
      <c r="B118" s="122"/>
      <c r="C118" s="123"/>
      <c r="D118" s="124"/>
      <c r="E118" s="164"/>
      <c r="F118" s="126"/>
      <c r="G118" s="127"/>
      <c r="H118" s="127"/>
    </row>
    <row r="119" spans="1:8" s="84" customFormat="1" x14ac:dyDescent="0.25">
      <c r="A119" s="210"/>
      <c r="B119" s="122"/>
      <c r="C119" s="211"/>
      <c r="D119" s="124"/>
      <c r="E119" s="164"/>
      <c r="F119" s="126"/>
      <c r="G119" s="212"/>
      <c r="H119" s="212"/>
    </row>
    <row r="120" spans="1:8" s="229" customFormat="1" x14ac:dyDescent="0.25">
      <c r="A120" s="214" t="s">
        <v>321</v>
      </c>
      <c r="B120" s="215"/>
      <c r="C120" s="216"/>
      <c r="D120" s="217"/>
      <c r="E120" s="218"/>
      <c r="F120" s="219" t="s">
        <v>335</v>
      </c>
      <c r="G120" s="220">
        <f>+ROUND(G117+G113+G102+G94+G49+G39+G25+G17,0)</f>
        <v>0</v>
      </c>
      <c r="H120" s="434"/>
    </row>
    <row r="121" spans="1:8" s="229" customFormat="1" ht="15.75" thickBot="1" x14ac:dyDescent="0.3">
      <c r="A121" s="214"/>
      <c r="B121" s="215"/>
      <c r="C121" s="234"/>
      <c r="D121" s="234"/>
      <c r="E121" s="235"/>
      <c r="F121" s="236"/>
      <c r="G121" s="237"/>
      <c r="H121" s="237"/>
    </row>
    <row r="122" spans="1:8" s="229" customFormat="1" x14ac:dyDescent="0.25">
      <c r="A122" s="214"/>
      <c r="B122" s="129">
        <v>1</v>
      </c>
      <c r="C122" s="130" t="s">
        <v>322</v>
      </c>
      <c r="D122" s="131"/>
      <c r="E122" s="132"/>
      <c r="F122" s="133"/>
      <c r="G122" s="245">
        <f>+G127</f>
        <v>0</v>
      </c>
      <c r="H122" s="435"/>
    </row>
    <row r="123" spans="1:8" s="229" customFormat="1" x14ac:dyDescent="0.25">
      <c r="A123" s="214"/>
      <c r="B123" s="28" t="s">
        <v>102</v>
      </c>
      <c r="C123" s="29" t="s">
        <v>323</v>
      </c>
      <c r="D123" s="30" t="s">
        <v>104</v>
      </c>
      <c r="E123" s="143">
        <v>246</v>
      </c>
      <c r="F123" s="144"/>
      <c r="G123" s="145"/>
      <c r="H123" s="429"/>
    </row>
    <row r="124" spans="1:8" s="229" customFormat="1" x14ac:dyDescent="0.25">
      <c r="A124" s="214"/>
      <c r="B124" s="28" t="s">
        <v>324</v>
      </c>
      <c r="C124" s="29" t="s">
        <v>325</v>
      </c>
      <c r="D124" s="30" t="s">
        <v>104</v>
      </c>
      <c r="E124" s="143">
        <v>2800</v>
      </c>
      <c r="F124" s="144"/>
      <c r="G124" s="145"/>
      <c r="H124" s="429"/>
    </row>
    <row r="125" spans="1:8" s="229" customFormat="1" x14ac:dyDescent="0.25">
      <c r="A125" s="214"/>
      <c r="B125" s="28" t="s">
        <v>326</v>
      </c>
      <c r="C125" s="29" t="s">
        <v>327</v>
      </c>
      <c r="D125" s="30" t="s">
        <v>104</v>
      </c>
      <c r="E125" s="143">
        <v>1720.58</v>
      </c>
      <c r="F125" s="144"/>
      <c r="G125" s="145"/>
      <c r="H125" s="429"/>
    </row>
    <row r="126" spans="1:8" s="229" customFormat="1" ht="60" customHeight="1" x14ac:dyDescent="0.25">
      <c r="A126" s="214"/>
      <c r="B126" s="172" t="s">
        <v>328</v>
      </c>
      <c r="C126" s="173" t="str">
        <f>+'[3]APUS '!C2701</f>
        <v>MACROMEDIDOR 8" FULL BORE, BRIDADO ANSI 150, PROTOCOLO HART ERROR MÁXIMO 0.2%, TOTALIZADORES INDEPENDIENTE, IP68, 24 VDC, AUTO DIAGNÓSTICO Y CALIBRACIÓN HEARBEAT</v>
      </c>
      <c r="D126" s="174" t="s">
        <v>90</v>
      </c>
      <c r="E126" s="175">
        <v>1</v>
      </c>
      <c r="F126" s="176"/>
      <c r="G126" s="145"/>
      <c r="H126" s="433"/>
    </row>
    <row r="127" spans="1:8" s="229" customFormat="1" ht="15.75" thickBot="1" x14ac:dyDescent="0.3">
      <c r="A127" s="214"/>
      <c r="B127" s="153"/>
      <c r="C127" s="154"/>
      <c r="D127" s="155"/>
      <c r="E127" s="156"/>
      <c r="F127" s="157" t="s">
        <v>329</v>
      </c>
      <c r="G127" s="246">
        <f>ROUND(SUM(G123:G126),0)</f>
        <v>0</v>
      </c>
      <c r="H127" s="436"/>
    </row>
    <row r="128" spans="1:8" s="229" customFormat="1" ht="15.75" thickBot="1" x14ac:dyDescent="0.3">
      <c r="A128" s="214"/>
      <c r="B128" s="122"/>
      <c r="C128" s="123"/>
      <c r="D128" s="124"/>
      <c r="E128" s="164"/>
      <c r="F128" s="126"/>
      <c r="G128" s="247"/>
      <c r="H128" s="247"/>
    </row>
    <row r="129" spans="1:8" s="229" customFormat="1" x14ac:dyDescent="0.25">
      <c r="A129" s="214"/>
      <c r="B129" s="129">
        <v>2</v>
      </c>
      <c r="C129" s="130" t="s">
        <v>382</v>
      </c>
      <c r="D129" s="131"/>
      <c r="E129" s="132"/>
      <c r="F129" s="133"/>
      <c r="G129" s="245">
        <f>+G134</f>
        <v>0</v>
      </c>
      <c r="H129" s="435"/>
    </row>
    <row r="130" spans="1:8" s="229" customFormat="1" x14ac:dyDescent="0.25">
      <c r="A130" s="214"/>
      <c r="B130" s="28" t="s">
        <v>331</v>
      </c>
      <c r="C130" s="29" t="s">
        <v>289</v>
      </c>
      <c r="D130" s="30" t="s">
        <v>90</v>
      </c>
      <c r="E130" s="143">
        <v>250</v>
      </c>
      <c r="F130" s="144"/>
      <c r="G130" s="145"/>
      <c r="H130" s="429"/>
    </row>
    <row r="131" spans="1:8" s="229" customFormat="1" x14ac:dyDescent="0.25">
      <c r="A131" s="214"/>
      <c r="B131" s="28" t="s">
        <v>332</v>
      </c>
      <c r="C131" s="29" t="s">
        <v>292</v>
      </c>
      <c r="D131" s="30" t="s">
        <v>90</v>
      </c>
      <c r="E131" s="143">
        <v>450</v>
      </c>
      <c r="F131" s="144"/>
      <c r="G131" s="145"/>
      <c r="H131" s="429"/>
    </row>
    <row r="132" spans="1:8" s="229" customFormat="1" x14ac:dyDescent="0.25">
      <c r="A132" s="214"/>
      <c r="B132" s="28" t="s">
        <v>333</v>
      </c>
      <c r="C132" s="29" t="s">
        <v>295</v>
      </c>
      <c r="D132" s="30" t="s">
        <v>90</v>
      </c>
      <c r="E132" s="143">
        <v>10</v>
      </c>
      <c r="F132" s="144"/>
      <c r="G132" s="145"/>
      <c r="H132" s="429"/>
    </row>
    <row r="133" spans="1:8" s="229" customFormat="1" x14ac:dyDescent="0.25">
      <c r="A133" s="214"/>
      <c r="B133" s="147"/>
      <c r="C133" s="29"/>
      <c r="D133" s="30"/>
      <c r="E133" s="148"/>
      <c r="F133" s="144"/>
      <c r="G133" s="145"/>
      <c r="H133" s="429"/>
    </row>
    <row r="134" spans="1:8" s="229" customFormat="1" ht="15.75" thickBot="1" x14ac:dyDescent="0.3">
      <c r="A134" s="214"/>
      <c r="B134" s="153"/>
      <c r="C134" s="154"/>
      <c r="D134" s="155"/>
      <c r="E134" s="156"/>
      <c r="F134" s="157" t="s">
        <v>334</v>
      </c>
      <c r="G134" s="246">
        <f>ROUND(SUM(G130:G133),0)</f>
        <v>0</v>
      </c>
      <c r="H134" s="436"/>
    </row>
    <row r="135" spans="1:8" s="229" customFormat="1" x14ac:dyDescent="0.25">
      <c r="A135" s="214"/>
      <c r="B135" s="122"/>
      <c r="C135" s="123"/>
      <c r="D135" s="124"/>
      <c r="E135" s="164"/>
      <c r="F135" s="126"/>
      <c r="G135" s="247"/>
      <c r="H135" s="247"/>
    </row>
    <row r="136" spans="1:8" s="229" customFormat="1" x14ac:dyDescent="0.25">
      <c r="A136" s="214"/>
      <c r="B136" s="215"/>
      <c r="C136" s="216"/>
      <c r="D136" s="217"/>
      <c r="E136" s="218"/>
      <c r="F136" s="219" t="s">
        <v>335</v>
      </c>
      <c r="G136" s="248">
        <f>+G134+G127</f>
        <v>0</v>
      </c>
      <c r="H136" s="437"/>
    </row>
    <row r="137" spans="1:8" s="229" customFormat="1" x14ac:dyDescent="0.25">
      <c r="A137" s="214"/>
      <c r="B137" s="215"/>
      <c r="C137" s="234"/>
      <c r="D137" s="234"/>
      <c r="E137" s="235"/>
      <c r="F137" s="236"/>
      <c r="G137" s="237"/>
      <c r="H137" s="237"/>
    </row>
    <row r="138" spans="1:8" s="229" customFormat="1" x14ac:dyDescent="0.25">
      <c r="A138" s="214" t="s">
        <v>336</v>
      </c>
      <c r="B138" s="215"/>
      <c r="C138" s="249"/>
      <c r="D138" s="250"/>
      <c r="E138" s="251"/>
      <c r="F138" s="252" t="s">
        <v>337</v>
      </c>
      <c r="G138" s="253">
        <f>+G120</f>
        <v>0</v>
      </c>
      <c r="H138" s="438"/>
    </row>
    <row r="139" spans="1:8" s="84" customFormat="1" x14ac:dyDescent="0.25">
      <c r="A139" s="80"/>
      <c r="B139" s="268"/>
      <c r="C139" s="269"/>
      <c r="D139" s="270"/>
      <c r="E139" s="125"/>
      <c r="F139" s="271"/>
      <c r="G139" s="272"/>
      <c r="H139" s="272"/>
    </row>
    <row r="140" spans="1:8" s="229" customFormat="1" x14ac:dyDescent="0.25">
      <c r="A140" s="214" t="s">
        <v>338</v>
      </c>
      <c r="B140" s="215"/>
      <c r="C140" s="249"/>
      <c r="D140" s="250"/>
      <c r="E140" s="251"/>
      <c r="F140" s="252" t="s">
        <v>339</v>
      </c>
      <c r="G140" s="253">
        <f>+$G$136</f>
        <v>0</v>
      </c>
      <c r="H140" s="438"/>
    </row>
    <row r="141" spans="1:8" s="84" customFormat="1" ht="23.25" customHeight="1" x14ac:dyDescent="0.25">
      <c r="A141" s="80"/>
      <c r="B141" s="268"/>
      <c r="C141" s="269"/>
      <c r="D141" s="270"/>
      <c r="E141" s="125"/>
      <c r="F141" s="271"/>
      <c r="G141" s="281"/>
      <c r="H141" s="281"/>
    </row>
    <row r="142" spans="1:8" s="84" customFormat="1" ht="15" customHeight="1" x14ac:dyDescent="0.25">
      <c r="A142" s="282" t="s">
        <v>340</v>
      </c>
      <c r="B142" s="268"/>
      <c r="C142" s="283" t="s">
        <v>341</v>
      </c>
      <c r="D142" s="284"/>
      <c r="E142" s="285"/>
      <c r="F142" s="286"/>
      <c r="G142" s="287"/>
      <c r="H142" s="439"/>
    </row>
    <row r="143" spans="1:8" s="84" customFormat="1" x14ac:dyDescent="0.25">
      <c r="A143" s="293" t="s">
        <v>342</v>
      </c>
      <c r="B143" s="26"/>
      <c r="C143" s="294"/>
      <c r="D143" s="295"/>
      <c r="E143" s="296"/>
      <c r="F143" s="297" t="s">
        <v>337</v>
      </c>
      <c r="G143" s="298">
        <f>G138</f>
        <v>0</v>
      </c>
      <c r="H143" s="440"/>
    </row>
    <row r="144" spans="1:8" s="84" customFormat="1" x14ac:dyDescent="0.25">
      <c r="A144" s="293" t="s">
        <v>343</v>
      </c>
      <c r="B144" s="26"/>
      <c r="C144" s="609"/>
      <c r="D144" s="610"/>
      <c r="E144" s="611" t="s">
        <v>344</v>
      </c>
      <c r="F144" s="612"/>
      <c r="G144" s="313">
        <f>+$G$143*F144</f>
        <v>0</v>
      </c>
      <c r="H144" s="441"/>
    </row>
    <row r="145" spans="1:8" s="84" customFormat="1" x14ac:dyDescent="0.25">
      <c r="A145" s="293" t="s">
        <v>345</v>
      </c>
      <c r="B145" s="26"/>
      <c r="C145" s="613"/>
      <c r="D145" s="614"/>
      <c r="E145" s="615" t="s">
        <v>346</v>
      </c>
      <c r="F145" s="616"/>
      <c r="G145" s="313">
        <f t="shared" ref="G145:G146" si="0">+$G$143*F145</f>
        <v>0</v>
      </c>
      <c r="H145" s="441"/>
    </row>
    <row r="146" spans="1:8" s="84" customFormat="1" x14ac:dyDescent="0.25">
      <c r="A146" s="293" t="s">
        <v>347</v>
      </c>
      <c r="B146" s="26"/>
      <c r="C146" s="613"/>
      <c r="D146" s="614"/>
      <c r="E146" s="615" t="s">
        <v>348</v>
      </c>
      <c r="F146" s="616"/>
      <c r="G146" s="313">
        <f t="shared" si="0"/>
        <v>0</v>
      </c>
      <c r="H146" s="441"/>
    </row>
    <row r="147" spans="1:8" s="84" customFormat="1" x14ac:dyDescent="0.25">
      <c r="A147" s="293" t="s">
        <v>349</v>
      </c>
      <c r="B147" s="26"/>
      <c r="C147" s="617"/>
      <c r="D147" s="618"/>
      <c r="E147" s="606" t="s">
        <v>350</v>
      </c>
      <c r="F147" s="607"/>
      <c r="G147" s="339">
        <f>SUM(G144:G146)</f>
        <v>0</v>
      </c>
      <c r="H147" s="442"/>
    </row>
    <row r="148" spans="1:8" s="84" customFormat="1" x14ac:dyDescent="0.25">
      <c r="A148" s="293" t="s">
        <v>351</v>
      </c>
      <c r="B148" s="26"/>
      <c r="C148" s="352"/>
      <c r="D148" s="353"/>
      <c r="E148" s="354"/>
      <c r="F148" s="355" t="s">
        <v>352</v>
      </c>
      <c r="G148" s="356">
        <f>G143+G147</f>
        <v>0</v>
      </c>
      <c r="H148" s="443"/>
    </row>
    <row r="149" spans="1:8" s="84" customFormat="1" x14ac:dyDescent="0.25">
      <c r="A149" s="366"/>
      <c r="B149" s="26"/>
      <c r="C149" s="26"/>
      <c r="D149" s="26"/>
      <c r="E149" s="367"/>
      <c r="F149" s="368"/>
      <c r="G149" s="369"/>
      <c r="H149" s="369"/>
    </row>
    <row r="150" spans="1:8" s="84" customFormat="1" ht="15" customHeight="1" x14ac:dyDescent="0.25">
      <c r="A150" s="282" t="s">
        <v>353</v>
      </c>
      <c r="B150" s="268"/>
      <c r="C150" s="283" t="s">
        <v>354</v>
      </c>
      <c r="D150" s="284"/>
      <c r="E150" s="285"/>
      <c r="F150" s="286"/>
      <c r="G150" s="287"/>
      <c r="H150" s="439"/>
    </row>
    <row r="151" spans="1:8" s="84" customFormat="1" x14ac:dyDescent="0.25">
      <c r="A151" s="293" t="s">
        <v>355</v>
      </c>
      <c r="B151" s="26"/>
      <c r="C151" s="294"/>
      <c r="D151" s="295"/>
      <c r="E151" s="296"/>
      <c r="F151" s="297" t="s">
        <v>339</v>
      </c>
      <c r="G151" s="371">
        <f>G140</f>
        <v>0</v>
      </c>
      <c r="H151" s="444"/>
    </row>
    <row r="152" spans="1:8" s="84" customFormat="1" x14ac:dyDescent="0.25">
      <c r="A152" s="293" t="s">
        <v>356</v>
      </c>
      <c r="B152" s="26"/>
      <c r="C152" s="609"/>
      <c r="D152" s="610"/>
      <c r="E152" s="611" t="s">
        <v>344</v>
      </c>
      <c r="F152" s="619"/>
      <c r="G152" s="377">
        <f>G151*F152</f>
        <v>0</v>
      </c>
      <c r="H152" s="445"/>
    </row>
    <row r="153" spans="1:8" s="84" customFormat="1" x14ac:dyDescent="0.25">
      <c r="A153" s="293" t="s">
        <v>357</v>
      </c>
      <c r="B153" s="26"/>
      <c r="C153" s="352"/>
      <c r="D153" s="353"/>
      <c r="E153" s="354"/>
      <c r="F153" s="355" t="s">
        <v>358</v>
      </c>
      <c r="G153" s="356">
        <f>G151+G152</f>
        <v>0</v>
      </c>
      <c r="H153" s="443"/>
    </row>
    <row r="154" spans="1:8" s="84" customFormat="1" x14ac:dyDescent="0.25">
      <c r="A154" s="366"/>
      <c r="B154" s="26"/>
      <c r="C154" s="26"/>
      <c r="D154" s="26"/>
      <c r="E154" s="367"/>
      <c r="F154" s="368"/>
      <c r="G154" s="369"/>
      <c r="H154" s="369"/>
    </row>
    <row r="155" spans="1:8" x14ac:dyDescent="0.25">
      <c r="A155" s="387"/>
      <c r="C155" s="352"/>
      <c r="D155" s="353"/>
      <c r="E155" s="354"/>
      <c r="F155" s="355" t="s">
        <v>359</v>
      </c>
      <c r="G155" s="356">
        <f>+G153+G148</f>
        <v>0</v>
      </c>
      <c r="H155" s="443"/>
    </row>
    <row r="156" spans="1:8" x14ac:dyDescent="0.25">
      <c r="A156" s="387"/>
      <c r="G156" s="356"/>
      <c r="H156" s="443"/>
    </row>
    <row r="157" spans="1:8" s="84" customFormat="1" x14ac:dyDescent="0.25">
      <c r="A157" s="387"/>
      <c r="B157" s="26"/>
      <c r="C157" s="26"/>
      <c r="D157" s="26"/>
      <c r="E157" s="367"/>
      <c r="F157" s="391"/>
      <c r="G157" s="392"/>
      <c r="H157" s="392"/>
    </row>
    <row r="158" spans="1:8" s="84" customFormat="1" x14ac:dyDescent="0.25">
      <c r="A158" s="387"/>
      <c r="B158" s="26"/>
      <c r="C158" s="26"/>
      <c r="D158" s="26"/>
      <c r="E158" s="367"/>
      <c r="F158" s="391"/>
      <c r="G158" s="392"/>
      <c r="H158" s="392"/>
    </row>
    <row r="159" spans="1:8" s="84" customFormat="1" x14ac:dyDescent="0.25">
      <c r="A159" s="387"/>
      <c r="B159" s="26"/>
      <c r="C159" s="26"/>
      <c r="D159" s="270"/>
      <c r="E159" s="125"/>
      <c r="F159" s="393"/>
      <c r="G159" s="39"/>
      <c r="H159" s="39"/>
    </row>
    <row r="160" spans="1:8" s="84" customFormat="1" x14ac:dyDescent="0.25">
      <c r="A160" s="387"/>
      <c r="B160" s="26"/>
      <c r="C160" s="394"/>
      <c r="D160" s="270"/>
      <c r="E160" s="125"/>
      <c r="F160" s="393"/>
      <c r="G160" s="39"/>
      <c r="H160" s="39"/>
    </row>
    <row r="161" spans="1:8" s="84" customFormat="1" x14ac:dyDescent="0.25">
      <c r="A161" s="387"/>
      <c r="B161" s="26"/>
      <c r="C161" s="394"/>
      <c r="D161" s="270"/>
      <c r="E161" s="125"/>
      <c r="F161" s="393"/>
      <c r="G161" s="39"/>
      <c r="H161" s="39"/>
    </row>
  </sheetData>
  <mergeCells count="4">
    <mergeCell ref="F1:F2"/>
    <mergeCell ref="B7:G8"/>
    <mergeCell ref="B9:B10"/>
    <mergeCell ref="C9:G10"/>
  </mergeCells>
  <conditionalFormatting sqref="B9">
    <cfRule type="cellIs" dxfId="26" priority="42" stopIfTrue="1" operator="equal">
      <formula>"ESCRIBA AQUÍ EL NOMBRE DE LA OBRA"</formula>
    </cfRule>
  </conditionalFormatting>
  <conditionalFormatting sqref="G1:H1">
    <cfRule type="cellIs" dxfId="25" priority="43" stopIfTrue="1" operator="equal">
      <formula>"CHEQ. INSUMOS"</formula>
    </cfRule>
  </conditionalFormatting>
  <conditionalFormatting sqref="G2:H6">
    <cfRule type="cellIs" dxfId="24" priority="44" stopIfTrue="1" operator="equal">
      <formula>"CHEQ. INSUMOS"</formula>
    </cfRule>
  </conditionalFormatting>
  <conditionalFormatting sqref="H153">
    <cfRule type="expression" dxfId="23" priority="38" stopIfTrue="1">
      <formula>"&gt;G29"</formula>
    </cfRule>
    <cfRule type="expression" dxfId="22" priority="39" stopIfTrue="1">
      <formula>"&lt;G29"""</formula>
    </cfRule>
  </conditionalFormatting>
  <conditionalFormatting sqref="H154">
    <cfRule type="cellIs" dxfId="21" priority="40" stopIfTrue="1" operator="notEqual">
      <formula>0</formula>
    </cfRule>
    <cfRule type="cellIs" dxfId="20" priority="41" stopIfTrue="1" operator="equal">
      <formula>0</formula>
    </cfRule>
  </conditionalFormatting>
  <conditionalFormatting sqref="H148">
    <cfRule type="expression" dxfId="19" priority="34" stopIfTrue="1">
      <formula>"&gt;G29"</formula>
    </cfRule>
    <cfRule type="expression" dxfId="18" priority="35" stopIfTrue="1">
      <formula>"&lt;G29"""</formula>
    </cfRule>
  </conditionalFormatting>
  <conditionalFormatting sqref="H149">
    <cfRule type="cellIs" dxfId="17" priority="36" stopIfTrue="1" operator="notEqual">
      <formula>0</formula>
    </cfRule>
    <cfRule type="cellIs" dxfId="16" priority="37" stopIfTrue="1" operator="equal">
      <formula>0</formula>
    </cfRule>
  </conditionalFormatting>
  <conditionalFormatting sqref="BI1">
    <cfRule type="cellIs" dxfId="15" priority="32" operator="lessThan">
      <formula>0</formula>
    </cfRule>
    <cfRule type="cellIs" dxfId="14" priority="33" operator="greaterThan">
      <formula>0</formula>
    </cfRule>
  </conditionalFormatting>
  <conditionalFormatting sqref="B14:C14">
    <cfRule type="cellIs" dxfId="13" priority="31" operator="equal">
      <formula>"ESCRIBA AQUÍ EL NOMBRE DEL CAPITULO"</formula>
    </cfRule>
  </conditionalFormatting>
  <conditionalFormatting sqref="B19:C19">
    <cfRule type="cellIs" dxfId="12" priority="30" operator="equal">
      <formula>"ESCRIBA AQUÍ EL NOMBRE DEL CAPITULO"</formula>
    </cfRule>
  </conditionalFormatting>
  <conditionalFormatting sqref="B27:C27">
    <cfRule type="cellIs" dxfId="11" priority="29" operator="equal">
      <formula>"ESCRIBA AQUÍ EL NOMBRE DEL CAPITULO"</formula>
    </cfRule>
  </conditionalFormatting>
  <conditionalFormatting sqref="B41:C41">
    <cfRule type="cellIs" dxfId="10" priority="28" operator="equal">
      <formula>"ESCRIBA AQUÍ EL NOMBRE DEL CAPITULO"</formula>
    </cfRule>
  </conditionalFormatting>
  <conditionalFormatting sqref="B51:C51">
    <cfRule type="cellIs" dxfId="9" priority="27" operator="equal">
      <formula>"ESCRIBA AQUÍ EL NOMBRE DEL CAPITULO"</formula>
    </cfRule>
  </conditionalFormatting>
  <conditionalFormatting sqref="B96:C96">
    <cfRule type="cellIs" dxfId="8" priority="26" operator="equal">
      <formula>"ESCRIBA AQUÍ EL NOMBRE DEL CAPITULO"</formula>
    </cfRule>
  </conditionalFormatting>
  <conditionalFormatting sqref="B104:C104">
    <cfRule type="cellIs" dxfId="7" priority="25" operator="equal">
      <formula>"ESCRIBA AQUÍ EL NOMBRE DEL CAPITULO"</formula>
    </cfRule>
  </conditionalFormatting>
  <conditionalFormatting sqref="B115:C115">
    <cfRule type="cellIs" dxfId="6" priority="24" operator="equal">
      <formula>"ESCRIBA AQUÍ EL NOMBRE DEL CAPITULO"</formula>
    </cfRule>
  </conditionalFormatting>
  <conditionalFormatting sqref="B122:C122">
    <cfRule type="cellIs" dxfId="5" priority="23" operator="equal">
      <formula>"ESCRIBA AQUÍ EL NOMBRE DEL CAPITULO"</formula>
    </cfRule>
  </conditionalFormatting>
  <conditionalFormatting sqref="B129:C129">
    <cfRule type="cellIs" dxfId="4" priority="22" operator="equal">
      <formula>"ESCRIBA AQUÍ EL NOMBRE DEL CAPITULO"</formula>
    </cfRule>
  </conditionalFormatting>
  <conditionalFormatting sqref="H155">
    <cfRule type="expression" dxfId="3" priority="20" stopIfTrue="1">
      <formula>"&gt;G29"</formula>
    </cfRule>
    <cfRule type="expression" dxfId="2" priority="21" stopIfTrue="1">
      <formula>"&lt;G29"""</formula>
    </cfRule>
  </conditionalFormatting>
  <conditionalFormatting sqref="G1:H6 G9:H13 G158:H1048576 H14:H15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6">
    <cfRule type="expression" dxfId="1" priority="17" stopIfTrue="1">
      <formula>"&gt;G29"</formula>
    </cfRule>
    <cfRule type="expression" dxfId="0" priority="18" stopIfTrue="1">
      <formula>"&lt;G29"""</formula>
    </cfRule>
  </conditionalFormatting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</vt:lpstr>
      <vt:lpstr>FORMULARIO 1</vt:lpstr>
      <vt:lpstr>FORMULARIO 1 PRESUPUESTO OF</vt:lpstr>
      <vt:lpstr>FORMULARIO 1 PROPONENTE</vt:lpstr>
      <vt:lpstr>'FORMULARIO 1 PROPONENTE'!Área_de_impresión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Albert Bermudez Arroyo</dc:creator>
  <cp:lastModifiedBy>Jhon Albert Bermudez Arroyo</cp:lastModifiedBy>
  <cp:lastPrinted>2021-03-24T19:07:23Z</cp:lastPrinted>
  <dcterms:created xsi:type="dcterms:W3CDTF">2021-03-01T19:45:49Z</dcterms:created>
  <dcterms:modified xsi:type="dcterms:W3CDTF">2021-03-24T19:08:03Z</dcterms:modified>
</cp:coreProperties>
</file>